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00" windowHeight="6090" tabRatio="282" activeTab="1"/>
  </bookViews>
  <sheets>
    <sheet name="Графики" sheetId="1" r:id="rId1"/>
    <sheet name="Расчет" sheetId="2" r:id="rId2"/>
  </sheets>
  <definedNames>
    <definedName name="_xlnm.Print_Area" localSheetId="0">'Графики'!$A$1:$O$173</definedName>
    <definedName name="_xlnm.Print_Area" localSheetId="1">'Расчет'!$A$1:$Z$143</definedName>
  </definedNames>
  <calcPr fullCalcOnLoad="1"/>
</workbook>
</file>

<file path=xl/comments2.xml><?xml version="1.0" encoding="utf-8"?>
<comments xmlns="http://schemas.openxmlformats.org/spreadsheetml/2006/main">
  <authors>
    <author>Valery I. Novikov</author>
    <author>Denski</author>
  </authors>
  <commentList>
    <comment ref="A7" authorId="0">
      <text>
        <r>
          <rPr>
            <sz val="8"/>
            <rFont val="Tahoma"/>
            <family val="0"/>
          </rPr>
          <t xml:space="preserve">Проекция на ось X вектора ОА в начальный момент времени 
</t>
        </r>
      </text>
    </comment>
    <comment ref="A8" authorId="0">
      <text>
        <r>
          <rPr>
            <sz val="8"/>
            <rFont val="Tahoma"/>
            <family val="0"/>
          </rPr>
          <t xml:space="preserve">Проекция на ось X вектора АB в начальный момент времени 
</t>
        </r>
      </text>
    </comment>
    <comment ref="A4" authorId="0">
      <text>
        <r>
          <rPr>
            <b/>
            <sz val="8"/>
            <rFont val="Tahoma"/>
            <family val="2"/>
          </rPr>
          <t>Длина</t>
        </r>
        <r>
          <rPr>
            <sz val="8"/>
            <rFont val="Tahoma"/>
            <family val="0"/>
          </rPr>
          <t xml:space="preserve"> 1-го звена
</t>
        </r>
      </text>
    </comment>
    <comment ref="A5" authorId="0">
      <text>
        <r>
          <rPr>
            <b/>
            <sz val="8"/>
            <rFont val="Tahoma"/>
            <family val="2"/>
          </rPr>
          <t>Длина</t>
        </r>
        <r>
          <rPr>
            <sz val="8"/>
            <rFont val="Tahoma"/>
            <family val="0"/>
          </rPr>
          <t xml:space="preserve"> 2-го звена
</t>
        </r>
      </text>
    </comment>
    <comment ref="A6" authorId="0">
      <text>
        <r>
          <rPr>
            <b/>
            <sz val="8"/>
            <rFont val="Tahoma"/>
            <family val="2"/>
          </rPr>
          <t>Длина</t>
        </r>
        <r>
          <rPr>
            <sz val="8"/>
            <rFont val="Tahoma"/>
            <family val="0"/>
          </rPr>
          <t xml:space="preserve"> 3-го звена
</t>
        </r>
      </text>
    </comment>
    <comment ref="C4" authorId="0">
      <text>
        <r>
          <rPr>
            <b/>
            <sz val="8"/>
            <rFont val="Tahoma"/>
            <family val="0"/>
          </rPr>
          <t xml:space="preserve">Масса </t>
        </r>
        <r>
          <rPr>
            <sz val="8"/>
            <rFont val="Tahoma"/>
            <family val="2"/>
          </rPr>
          <t>1-го звена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Масса</t>
        </r>
        <r>
          <rPr>
            <sz val="8"/>
            <rFont val="Tahoma"/>
            <family val="2"/>
          </rPr>
          <t xml:space="preserve"> 2-го звена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Масса </t>
        </r>
        <r>
          <rPr>
            <sz val="8"/>
            <rFont val="Tahoma"/>
            <family val="2"/>
          </rPr>
          <t>3-го звена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sz val="8"/>
            <rFont val="Tahoma"/>
            <family val="0"/>
          </rPr>
          <t xml:space="preserve">Проекция на ось Y вектора ОА в начальный момент времени 
</t>
        </r>
      </text>
    </comment>
    <comment ref="C8" authorId="0">
      <text>
        <r>
          <rPr>
            <sz val="8"/>
            <rFont val="Tahoma"/>
            <family val="2"/>
          </rPr>
          <t xml:space="preserve">Проекция на ось Y вектора AB в начальный момент времени 
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sz val="8"/>
            <rFont val="Tahoma"/>
            <family val="0"/>
          </rPr>
          <t xml:space="preserve">Проекция на ось X вектора ОА в начальный момент времени 
</t>
        </r>
      </text>
    </comment>
    <comment ref="C10" authorId="0">
      <text>
        <r>
          <rPr>
            <sz val="8"/>
            <rFont val="Tahoma"/>
            <family val="0"/>
          </rPr>
          <t xml:space="preserve">Проекция на ось Y вектора ОА в начальный момент времени 
</t>
        </r>
      </text>
    </comment>
    <comment ref="A11" authorId="0">
      <text>
        <r>
          <rPr>
            <sz val="8"/>
            <rFont val="Tahoma"/>
            <family val="0"/>
          </rPr>
          <t xml:space="preserve">Проекция на ось X вектора АB в начальный момент времени 
</t>
        </r>
      </text>
    </comment>
    <comment ref="C11" authorId="0">
      <text>
        <r>
          <rPr>
            <sz val="8"/>
            <rFont val="Tahoma"/>
            <family val="2"/>
          </rPr>
          <t xml:space="preserve">Проекция на ось Y вектора AB в начальный момент времени 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sz val="8"/>
            <rFont val="Tahoma"/>
            <family val="0"/>
          </rPr>
          <t xml:space="preserve">Проекция на ось X вектора АM в начальный момент времени 
</t>
        </r>
      </text>
    </comment>
    <comment ref="C9" authorId="0">
      <text>
        <r>
          <rPr>
            <sz val="8"/>
            <rFont val="Tahoma"/>
            <family val="2"/>
          </rPr>
          <t xml:space="preserve">Проекция на ось Y вектора AМ в начальный момент времени 
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8"/>
            <rFont val="Tahoma"/>
            <family val="2"/>
          </rPr>
          <t xml:space="preserve">Угловая скорость 1-го звена
</t>
        </r>
      </text>
    </comment>
    <comment ref="E9" authorId="0">
      <text>
        <r>
          <rPr>
            <sz val="8"/>
            <rFont val="Tahoma"/>
            <family val="2"/>
          </rPr>
          <t xml:space="preserve">Угловое ускорение 1-го звена
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sz val="8"/>
            <rFont val="Tahoma"/>
            <family val="0"/>
          </rPr>
          <t xml:space="preserve">Приращение угла
</t>
        </r>
      </text>
    </comment>
    <comment ref="E11" authorId="1">
      <text>
        <r>
          <rPr>
            <sz val="8"/>
            <rFont val="Tahoma"/>
            <family val="0"/>
          </rPr>
          <t xml:space="preserve">Приращение угла
</t>
        </r>
      </text>
    </comment>
  </commentList>
</comments>
</file>

<file path=xl/sharedStrings.xml><?xml version="1.0" encoding="utf-8"?>
<sst xmlns="http://schemas.openxmlformats.org/spreadsheetml/2006/main" count="170" uniqueCount="113">
  <si>
    <t>РАСЧЁТ МЕХАНИЗМА С ТРЕМЯ ЗВЕНЬЯМИ И ДВУМЯ НЕПОДВИЖНЫМИ ШАРНИРАМИ</t>
  </si>
  <si>
    <t>Тип</t>
  </si>
  <si>
    <t>Значение</t>
  </si>
  <si>
    <t xml:space="preserve"> Начальные данные </t>
  </si>
  <si>
    <t>Кинематическая Схема</t>
  </si>
  <si>
    <t xml:space="preserve">Промежуточные расчеты </t>
  </si>
  <si>
    <t>Частица М на участке АВ</t>
  </si>
  <si>
    <t>Частица A</t>
  </si>
  <si>
    <t>Частица В</t>
  </si>
  <si>
    <t>Центр массы звена 1</t>
  </si>
  <si>
    <t>Центр массы звена 2</t>
  </si>
  <si>
    <t>Центр массы звена 3</t>
  </si>
  <si>
    <t>Шарнир В</t>
  </si>
  <si>
    <t>Шарнир А</t>
  </si>
  <si>
    <t>Шарнир О (Приводной вал)</t>
  </si>
  <si>
    <t>Усилия в шарнирах</t>
  </si>
  <si>
    <t>Ekin_3</t>
  </si>
  <si>
    <t>Nx</t>
  </si>
  <si>
    <t>tg(Psi/2)</t>
  </si>
  <si>
    <t>Psi_t</t>
  </si>
  <si>
    <t xml:space="preserve">f2 </t>
  </si>
  <si>
    <t>Y_tt</t>
  </si>
  <si>
    <t>X_tt</t>
  </si>
  <si>
    <t>X_t</t>
  </si>
  <si>
    <t>Y</t>
  </si>
  <si>
    <t>Ksi_tt</t>
  </si>
  <si>
    <t>Psi_tt</t>
  </si>
  <si>
    <t>f1</t>
  </si>
  <si>
    <t>Ksi_t</t>
  </si>
  <si>
    <t>Ksi</t>
  </si>
  <si>
    <t>Psi</t>
  </si>
  <si>
    <t>Psi/2</t>
  </si>
  <si>
    <t>Дискр</t>
  </si>
  <si>
    <t>Y_t</t>
  </si>
  <si>
    <t>X</t>
  </si>
  <si>
    <t>Fi</t>
  </si>
  <si>
    <t>Ekin_1</t>
  </si>
  <si>
    <t>Fx</t>
  </si>
  <si>
    <t>Fy</t>
  </si>
  <si>
    <t>Mc</t>
  </si>
  <si>
    <t>P</t>
  </si>
  <si>
    <t>Q</t>
  </si>
  <si>
    <t>F</t>
  </si>
  <si>
    <t>Ekin_2</t>
  </si>
  <si>
    <t>Etot</t>
  </si>
  <si>
    <t>Qx</t>
  </si>
  <si>
    <t>Qy</t>
  </si>
  <si>
    <t>Ny</t>
  </si>
  <si>
    <t>Rx</t>
  </si>
  <si>
    <t>Ry</t>
  </si>
  <si>
    <t>Qtex</t>
  </si>
  <si>
    <t>Qtex_x</t>
  </si>
  <si>
    <t>Qtex_y</t>
  </si>
  <si>
    <t>Px</t>
  </si>
  <si>
    <t>Py</t>
  </si>
  <si>
    <t>Xp</t>
  </si>
  <si>
    <t>Yp</t>
  </si>
  <si>
    <t>Технологическое усилие и его проекции</t>
  </si>
  <si>
    <t>Частица В через ось О3</t>
  </si>
  <si>
    <t>Mo</t>
  </si>
  <si>
    <t>Ma</t>
  </si>
  <si>
    <t>Mв</t>
  </si>
  <si>
    <t xml:space="preserve">J1 </t>
  </si>
  <si>
    <t>J2</t>
  </si>
  <si>
    <t>J3</t>
  </si>
  <si>
    <t>Betta_C3</t>
  </si>
  <si>
    <t>Betta_C2</t>
  </si>
  <si>
    <t>Betta_C1</t>
  </si>
  <si>
    <t>Betta_M</t>
  </si>
  <si>
    <t>Betta_B</t>
  </si>
  <si>
    <t>Betta_A</t>
  </si>
  <si>
    <t>Alfa_B</t>
  </si>
  <si>
    <t>Alfa_M</t>
  </si>
  <si>
    <t>Alfa_C1</t>
  </si>
  <si>
    <t>Alfa_C2</t>
  </si>
  <si>
    <t>Alfa_C3</t>
  </si>
  <si>
    <t>Fi0</t>
  </si>
  <si>
    <t>Fi_t</t>
  </si>
  <si>
    <t>Delta_Fi</t>
  </si>
  <si>
    <t>A</t>
  </si>
  <si>
    <t>B</t>
  </si>
  <si>
    <t>AM</t>
  </si>
  <si>
    <t>M1</t>
  </si>
  <si>
    <t>M2</t>
  </si>
  <si>
    <t>M3</t>
  </si>
  <si>
    <t>L1</t>
  </si>
  <si>
    <t>L2</t>
  </si>
  <si>
    <t>L3</t>
  </si>
  <si>
    <t>Alfa_A</t>
  </si>
  <si>
    <t>Кинематический анализ механизма</t>
  </si>
  <si>
    <t>Динамический анализ механизма</t>
  </si>
  <si>
    <t>Кинетическая энергия</t>
  </si>
  <si>
    <t>Mraz</t>
  </si>
  <si>
    <t>DeltFi</t>
  </si>
  <si>
    <t>cos(DeltFi)</t>
  </si>
  <si>
    <t>sin (DeltFi)</t>
  </si>
  <si>
    <t>(Fi)tt=</t>
  </si>
  <si>
    <t>Delt(t)=</t>
  </si>
  <si>
    <t>(Fi)t=</t>
  </si>
  <si>
    <t>(Fi_tt)нач</t>
  </si>
  <si>
    <t>Delt(Fi)tt</t>
  </si>
  <si>
    <t>Rx=</t>
  </si>
  <si>
    <t>Ry=</t>
  </si>
  <si>
    <t>Шарнир О1</t>
  </si>
  <si>
    <t>Px=</t>
  </si>
  <si>
    <t>Py=</t>
  </si>
  <si>
    <t>Mпр=</t>
  </si>
  <si>
    <t>Xмцс=</t>
  </si>
  <si>
    <t>Умцс=</t>
  </si>
  <si>
    <t>Хмцу=</t>
  </si>
  <si>
    <t>Умцу=</t>
  </si>
  <si>
    <t>ОснОпр=</t>
  </si>
  <si>
    <t>k=1/r=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</si>
</sst>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E+00"/>
    <numFmt numFmtId="167" formatCode="0.E+00"/>
  </numFmts>
  <fonts count="31">
    <font>
      <sz val="10"/>
      <name val="Arial Cyr"/>
      <family val="0"/>
    </font>
    <font>
      <sz val="10"/>
      <color indexed="9"/>
      <name val="Arial Cyr"/>
      <family val="2"/>
    </font>
    <font>
      <i/>
      <sz val="12"/>
      <color indexed="9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3"/>
      <name val="Arial Cyr"/>
      <family val="2"/>
    </font>
    <font>
      <sz val="12"/>
      <name val="Arial Cyr"/>
      <family val="2"/>
    </font>
    <font>
      <sz val="12"/>
      <color indexed="9"/>
      <name val="Arial Cyr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.75"/>
      <name val="Arial Cyr"/>
      <family val="0"/>
    </font>
    <font>
      <i/>
      <sz val="10"/>
      <color indexed="12"/>
      <name val="Arial Cyr"/>
      <family val="2"/>
    </font>
    <font>
      <sz val="14.5"/>
      <name val="Arial Cyr"/>
      <family val="0"/>
    </font>
    <font>
      <sz val="15.25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name val="Times New Roman Cyr"/>
      <family val="1"/>
    </font>
    <font>
      <sz val="8.5"/>
      <name val="Arial Cyr"/>
      <family val="0"/>
    </font>
    <font>
      <sz val="8.75"/>
      <name val="Arial Cyr"/>
      <family val="0"/>
    </font>
    <font>
      <sz val="11"/>
      <name val="Arial Cyr"/>
      <family val="0"/>
    </font>
    <font>
      <sz val="9.5"/>
      <name val="Arial Cyr"/>
      <family val="2"/>
    </font>
    <font>
      <sz val="9.25"/>
      <name val="Arial Cyr"/>
      <family val="2"/>
    </font>
    <font>
      <sz val="10"/>
      <name val="Times New Roman Cyr"/>
      <family val="1"/>
    </font>
    <font>
      <sz val="9"/>
      <color indexed="12"/>
      <name val="Arial Cyr"/>
      <family val="2"/>
    </font>
    <font>
      <sz val="11"/>
      <color indexed="9"/>
      <name val="Arial Cyr"/>
      <family val="2"/>
    </font>
    <font>
      <sz val="12"/>
      <color indexed="8"/>
      <name val="Times New Roman Cyr"/>
      <family val="1"/>
    </font>
    <font>
      <i/>
      <sz val="9.25"/>
      <color indexed="12"/>
      <name val="Arial Cyr"/>
      <family val="2"/>
    </font>
    <font>
      <sz val="12"/>
      <color indexed="12"/>
      <name val="Symbol"/>
      <family val="1"/>
    </font>
    <font>
      <i/>
      <sz val="8.75"/>
      <color indexed="12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2" fontId="16" fillId="2" borderId="1" xfId="0" applyNumberFormat="1" applyFont="1" applyFill="1" applyBorder="1" applyAlignment="1">
      <alignment horizontal="center"/>
    </xf>
    <xf numFmtId="2" fontId="16" fillId="2" borderId="2" xfId="0" applyNumberFormat="1" applyFont="1" applyFill="1" applyBorder="1" applyAlignment="1">
      <alignment horizontal="center"/>
    </xf>
    <xf numFmtId="2" fontId="0" fillId="3" borderId="3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2" fontId="16" fillId="2" borderId="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4" borderId="4" xfId="0" applyNumberFormat="1" applyFill="1" applyBorder="1" applyAlignment="1">
      <alignment/>
    </xf>
    <xf numFmtId="2" fontId="18" fillId="4" borderId="4" xfId="0" applyNumberFormat="1" applyFont="1" applyFill="1" applyBorder="1" applyAlignment="1">
      <alignment/>
    </xf>
    <xf numFmtId="2" fontId="0" fillId="4" borderId="7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5" borderId="9" xfId="0" applyNumberFormat="1" applyFont="1" applyFill="1" applyBorder="1" applyAlignment="1">
      <alignment/>
    </xf>
    <xf numFmtId="2" fontId="2" fillId="5" borderId="0" xfId="0" applyNumberFormat="1" applyFon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1" fillId="5" borderId="0" xfId="0" applyNumberFormat="1" applyFont="1" applyFill="1" applyBorder="1" applyAlignment="1">
      <alignment/>
    </xf>
    <xf numFmtId="2" fontId="1" fillId="5" borderId="6" xfId="0" applyNumberFormat="1" applyFont="1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6" borderId="11" xfId="0" applyNumberFormat="1" applyFill="1" applyBorder="1" applyAlignment="1">
      <alignment/>
    </xf>
    <xf numFmtId="2" fontId="0" fillId="6" borderId="12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4" borderId="5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4" borderId="0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4" borderId="9" xfId="0" applyNumberFormat="1" applyFill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6" fillId="5" borderId="11" xfId="0" applyNumberFormat="1" applyFont="1" applyFill="1" applyBorder="1" applyAlignment="1">
      <alignment/>
    </xf>
    <xf numFmtId="2" fontId="17" fillId="5" borderId="11" xfId="0" applyNumberFormat="1" applyFont="1" applyFill="1" applyBorder="1" applyAlignment="1">
      <alignment/>
    </xf>
    <xf numFmtId="2" fontId="7" fillId="5" borderId="11" xfId="0" applyNumberFormat="1" applyFont="1" applyFill="1" applyBorder="1" applyAlignment="1">
      <alignment/>
    </xf>
    <xf numFmtId="2" fontId="6" fillId="5" borderId="12" xfId="0" applyNumberFormat="1" applyFont="1" applyFill="1" applyBorder="1" applyAlignment="1">
      <alignment/>
    </xf>
    <xf numFmtId="2" fontId="0" fillId="2" borderId="8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/>
    </xf>
    <xf numFmtId="2" fontId="16" fillId="4" borderId="11" xfId="0" applyNumberFormat="1" applyFont="1" applyFill="1" applyBorder="1" applyAlignment="1">
      <alignment/>
    </xf>
    <xf numFmtId="2" fontId="0" fillId="4" borderId="12" xfId="0" applyNumberFormat="1" applyFill="1" applyBorder="1" applyAlignment="1">
      <alignment/>
    </xf>
    <xf numFmtId="2" fontId="0" fillId="4" borderId="13" xfId="0" applyNumberFormat="1" applyFill="1" applyBorder="1" applyAlignment="1">
      <alignment horizontal="center"/>
    </xf>
    <xf numFmtId="2" fontId="16" fillId="4" borderId="3" xfId="0" applyNumberFormat="1" applyFont="1" applyFill="1" applyBorder="1" applyAlignment="1">
      <alignment/>
    </xf>
    <xf numFmtId="2" fontId="0" fillId="4" borderId="11" xfId="0" applyNumberFormat="1" applyFont="1" applyFill="1" applyBorder="1" applyAlignment="1">
      <alignment/>
    </xf>
    <xf numFmtId="2" fontId="8" fillId="4" borderId="10" xfId="0" applyNumberFormat="1" applyFont="1" applyFill="1" applyBorder="1" applyAlignment="1">
      <alignment/>
    </xf>
    <xf numFmtId="2" fontId="0" fillId="4" borderId="10" xfId="0" applyNumberFormat="1" applyFill="1" applyBorder="1" applyAlignment="1">
      <alignment/>
    </xf>
    <xf numFmtId="2" fontId="0" fillId="3" borderId="0" xfId="0" applyNumberFormat="1" applyFill="1" applyBorder="1" applyAlignment="1">
      <alignment horizontal="right"/>
    </xf>
    <xf numFmtId="2" fontId="1" fillId="4" borderId="13" xfId="0" applyNumberFormat="1" applyFont="1" applyFill="1" applyBorder="1" applyAlignment="1">
      <alignment/>
    </xf>
    <xf numFmtId="2" fontId="0" fillId="4" borderId="9" xfId="0" applyNumberFormat="1" applyFill="1" applyBorder="1" applyAlignment="1">
      <alignment horizontal="center"/>
    </xf>
    <xf numFmtId="2" fontId="0" fillId="4" borderId="25" xfId="0" applyNumberFormat="1" applyFill="1" applyBorder="1" applyAlignment="1">
      <alignment/>
    </xf>
    <xf numFmtId="2" fontId="0" fillId="4" borderId="25" xfId="0" applyNumberFormat="1" applyFill="1" applyBorder="1" applyAlignment="1">
      <alignment horizontal="center"/>
    </xf>
    <xf numFmtId="2" fontId="1" fillId="4" borderId="9" xfId="0" applyNumberFormat="1" applyFont="1" applyFill="1" applyBorder="1" applyAlignment="1">
      <alignment/>
    </xf>
    <xf numFmtId="2" fontId="0" fillId="7" borderId="3" xfId="0" applyNumberFormat="1" applyFill="1" applyBorder="1" applyAlignment="1">
      <alignment/>
    </xf>
    <xf numFmtId="2" fontId="16" fillId="7" borderId="3" xfId="0" applyNumberFormat="1" applyFont="1" applyFill="1" applyBorder="1" applyAlignment="1">
      <alignment horizontal="left"/>
    </xf>
    <xf numFmtId="2" fontId="0" fillId="7" borderId="5" xfId="0" applyNumberFormat="1" applyFill="1" applyBorder="1" applyAlignment="1">
      <alignment/>
    </xf>
    <xf numFmtId="2" fontId="0" fillId="7" borderId="6" xfId="0" applyNumberFormat="1" applyFill="1" applyBorder="1" applyAlignment="1">
      <alignment/>
    </xf>
    <xf numFmtId="2" fontId="0" fillId="7" borderId="13" xfId="0" applyNumberFormat="1" applyFill="1" applyBorder="1" applyAlignment="1">
      <alignment horizontal="center"/>
    </xf>
    <xf numFmtId="2" fontId="0" fillId="7" borderId="25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/>
    </xf>
    <xf numFmtId="2" fontId="16" fillId="7" borderId="0" xfId="0" applyNumberFormat="1" applyFont="1" applyFill="1" applyBorder="1" applyAlignment="1">
      <alignment horizontal="left"/>
    </xf>
    <xf numFmtId="2" fontId="0" fillId="7" borderId="13" xfId="0" applyNumberFormat="1" applyFill="1" applyBorder="1" applyAlignment="1">
      <alignment/>
    </xf>
    <xf numFmtId="2" fontId="0" fillId="4" borderId="11" xfId="0" applyNumberFormat="1" applyFill="1" applyBorder="1" applyAlignment="1">
      <alignment horizontal="center"/>
    </xf>
    <xf numFmtId="2" fontId="16" fillId="4" borderId="11" xfId="0" applyNumberFormat="1" applyFon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16" fillId="4" borderId="3" xfId="0" applyNumberFormat="1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16" fillId="4" borderId="0" xfId="0" applyNumberFormat="1" applyFon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2" fontId="6" fillId="5" borderId="25" xfId="0" applyNumberFormat="1" applyFont="1" applyFill="1" applyBorder="1" applyAlignment="1">
      <alignment/>
    </xf>
    <xf numFmtId="2" fontId="6" fillId="5" borderId="4" xfId="0" applyNumberFormat="1" applyFont="1" applyFill="1" applyBorder="1" applyAlignment="1">
      <alignment/>
    </xf>
    <xf numFmtId="2" fontId="17" fillId="5" borderId="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5" fillId="8" borderId="10" xfId="0" applyNumberFormat="1" applyFont="1" applyFill="1" applyBorder="1" applyAlignment="1">
      <alignment/>
    </xf>
    <xf numFmtId="2" fontId="5" fillId="8" borderId="11" xfId="0" applyNumberFormat="1" applyFont="1" applyFill="1" applyBorder="1" applyAlignment="1">
      <alignment/>
    </xf>
    <xf numFmtId="2" fontId="0" fillId="8" borderId="11" xfId="0" applyNumberFormat="1" applyFill="1" applyBorder="1" applyAlignment="1">
      <alignment/>
    </xf>
    <xf numFmtId="2" fontId="0" fillId="8" borderId="12" xfId="0" applyNumberFormat="1" applyFill="1" applyBorder="1" applyAlignment="1">
      <alignment/>
    </xf>
    <xf numFmtId="2" fontId="25" fillId="6" borderId="31" xfId="0" applyNumberFormat="1" applyFont="1" applyFill="1" applyBorder="1" applyAlignment="1">
      <alignment horizontal="center"/>
    </xf>
    <xf numFmtId="2" fontId="25" fillId="6" borderId="32" xfId="0" applyNumberFormat="1" applyFont="1" applyFill="1" applyBorder="1" applyAlignment="1">
      <alignment horizontal="center"/>
    </xf>
    <xf numFmtId="2" fontId="25" fillId="6" borderId="10" xfId="0" applyNumberFormat="1" applyFont="1" applyFill="1" applyBorder="1" applyAlignment="1">
      <alignment horizontal="center"/>
    </xf>
    <xf numFmtId="2" fontId="26" fillId="8" borderId="11" xfId="0" applyNumberFormat="1" applyFont="1" applyFill="1" applyBorder="1" applyAlignment="1">
      <alignment/>
    </xf>
    <xf numFmtId="2" fontId="1" fillId="8" borderId="11" xfId="0" applyNumberFormat="1" applyFont="1" applyFill="1" applyBorder="1" applyAlignment="1">
      <alignment/>
    </xf>
    <xf numFmtId="2" fontId="1" fillId="8" borderId="10" xfId="0" applyNumberFormat="1" applyFont="1" applyFill="1" applyBorder="1" applyAlignment="1">
      <alignment/>
    </xf>
    <xf numFmtId="2" fontId="17" fillId="4" borderId="0" xfId="0" applyNumberFormat="1" applyFont="1" applyFill="1" applyBorder="1" applyAlignment="1">
      <alignment horizontal="center"/>
    </xf>
    <xf numFmtId="2" fontId="27" fillId="4" borderId="0" xfId="0" applyNumberFormat="1" applyFont="1" applyFill="1" applyBorder="1" applyAlignment="1">
      <alignment horizontal="center"/>
    </xf>
    <xf numFmtId="2" fontId="16" fillId="4" borderId="0" xfId="0" applyNumberFormat="1" applyFont="1" applyFill="1" applyAlignment="1">
      <alignment/>
    </xf>
    <xf numFmtId="2" fontId="16" fillId="4" borderId="4" xfId="0" applyNumberFormat="1" applyFon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0" fillId="5" borderId="11" xfId="0" applyNumberFormat="1" applyFill="1" applyBorder="1" applyAlignment="1">
      <alignment/>
    </xf>
    <xf numFmtId="2" fontId="0" fillId="5" borderId="12" xfId="0" applyNumberFormat="1" applyFill="1" applyBorder="1" applyAlignment="1">
      <alignment/>
    </xf>
    <xf numFmtId="2" fontId="24" fillId="3" borderId="4" xfId="0" applyNumberFormat="1" applyFont="1" applyFill="1" applyBorder="1" applyAlignment="1">
      <alignment/>
    </xf>
    <xf numFmtId="2" fontId="24" fillId="3" borderId="4" xfId="0" applyNumberFormat="1" applyFont="1" applyFill="1" applyBorder="1" applyAlignment="1">
      <alignment horizontal="right"/>
    </xf>
    <xf numFmtId="2" fontId="24" fillId="3" borderId="7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2" fontId="0" fillId="3" borderId="0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2" fontId="0" fillId="3" borderId="5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6" xfId="0" applyNumberFormat="1" applyFont="1" applyFill="1" applyBorder="1" applyAlignment="1">
      <alignment/>
    </xf>
    <xf numFmtId="2" fontId="0" fillId="2" borderId="25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7" fontId="0" fillId="2" borderId="25" xfId="0" applyNumberFormat="1" applyFill="1" applyBorder="1" applyAlignment="1">
      <alignment horizontal="center"/>
    </xf>
    <xf numFmtId="167" fontId="0" fillId="3" borderId="4" xfId="0" applyNumberFormat="1" applyFill="1" applyBorder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точки 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Расчет!$B$24:$Z$24</c:f>
              <c:numCache>
                <c:ptCount val="25"/>
                <c:pt idx="0">
                  <c:v>3.9945181390182953</c:v>
                </c:pt>
                <c:pt idx="1">
                  <c:v>3.804226065180614</c:v>
                </c:pt>
                <c:pt idx="2">
                  <c:v>3.354682271781696</c:v>
                </c:pt>
                <c:pt idx="3">
                  <c:v>2.676522425435433</c:v>
                </c:pt>
                <c:pt idx="4">
                  <c:v>1.8159619989581874</c:v>
                </c:pt>
                <c:pt idx="5">
                  <c:v>0.8316467632710373</c:v>
                </c:pt>
                <c:pt idx="6">
                  <c:v>-0.2093438249717751</c:v>
                </c:pt>
                <c:pt idx="7">
                  <c:v>-1.23606797749979</c:v>
                </c:pt>
                <c:pt idx="8">
                  <c:v>-2.1785561400601074</c:v>
                </c:pt>
                <c:pt idx="9">
                  <c:v>-2.9725793019095765</c:v>
                </c:pt>
                <c:pt idx="10">
                  <c:v>-3.564026096753471</c:v>
                </c:pt>
                <c:pt idx="11">
                  <c:v>-3.912590402935222</c:v>
                </c:pt>
                <c:pt idx="12">
                  <c:v>-3.9945181390182953</c:v>
                </c:pt>
                <c:pt idx="13">
                  <c:v>-3.804226065180614</c:v>
                </c:pt>
                <c:pt idx="14">
                  <c:v>-3.3546822717816953</c:v>
                </c:pt>
                <c:pt idx="15">
                  <c:v>-2.6765224254354334</c:v>
                </c:pt>
                <c:pt idx="16">
                  <c:v>-1.815961998958189</c:v>
                </c:pt>
                <c:pt idx="17">
                  <c:v>-0.8316467632710368</c:v>
                </c:pt>
                <c:pt idx="18">
                  <c:v>0.20934382497177462</c:v>
                </c:pt>
                <c:pt idx="19">
                  <c:v>1.236067977499788</c:v>
                </c:pt>
                <c:pt idx="20">
                  <c:v>2.178556140060109</c:v>
                </c:pt>
                <c:pt idx="21">
                  <c:v>2.972579301909576</c:v>
                </c:pt>
                <c:pt idx="22">
                  <c:v>3.5640260967534703</c:v>
                </c:pt>
                <c:pt idx="23">
                  <c:v>3.9125904029352223</c:v>
                </c:pt>
                <c:pt idx="24">
                  <c:v>3.9945181390182953</c:v>
                </c:pt>
              </c:numCache>
            </c:numRef>
          </c:xVal>
          <c:yVal>
            <c:numRef>
              <c:f>Расчет!$B$25:$Z$25</c:f>
              <c:numCache>
                <c:ptCount val="25"/>
                <c:pt idx="0">
                  <c:v>0.20934382497177534</c:v>
                </c:pt>
                <c:pt idx="1">
                  <c:v>1.2360679774997896</c:v>
                </c:pt>
                <c:pt idx="2">
                  <c:v>2.178556140060108</c:v>
                </c:pt>
                <c:pt idx="3">
                  <c:v>2.9725793019095765</c:v>
                </c:pt>
                <c:pt idx="4">
                  <c:v>3.564026096753471</c:v>
                </c:pt>
                <c:pt idx="5">
                  <c:v>3.9125904029352223</c:v>
                </c:pt>
                <c:pt idx="6">
                  <c:v>3.9945181390182953</c:v>
                </c:pt>
                <c:pt idx="7">
                  <c:v>3.804226065180614</c:v>
                </c:pt>
                <c:pt idx="8">
                  <c:v>3.354682271781696</c:v>
                </c:pt>
                <c:pt idx="9">
                  <c:v>2.676522425435433</c:v>
                </c:pt>
                <c:pt idx="10">
                  <c:v>1.8159619989581868</c:v>
                </c:pt>
                <c:pt idx="11">
                  <c:v>0.8316467632710385</c:v>
                </c:pt>
                <c:pt idx="12">
                  <c:v>-0.20934382497177484</c:v>
                </c:pt>
                <c:pt idx="13">
                  <c:v>-1.2360679774997898</c:v>
                </c:pt>
                <c:pt idx="14">
                  <c:v>-2.178556140060109</c:v>
                </c:pt>
                <c:pt idx="15">
                  <c:v>-2.9725793019095765</c:v>
                </c:pt>
                <c:pt idx="16">
                  <c:v>-3.5640260967534703</c:v>
                </c:pt>
                <c:pt idx="17">
                  <c:v>-3.9125904029352223</c:v>
                </c:pt>
                <c:pt idx="18">
                  <c:v>-3.9945181390182953</c:v>
                </c:pt>
                <c:pt idx="19">
                  <c:v>-3.8042260651806146</c:v>
                </c:pt>
                <c:pt idx="20">
                  <c:v>-3.3546822717816953</c:v>
                </c:pt>
                <c:pt idx="21">
                  <c:v>-2.6765224254354334</c:v>
                </c:pt>
                <c:pt idx="22">
                  <c:v>-1.815961998958189</c:v>
                </c:pt>
                <c:pt idx="23">
                  <c:v>-0.831646763271037</c:v>
                </c:pt>
                <c:pt idx="24">
                  <c:v>0.20934382497177437</c:v>
                </c:pt>
              </c:numCache>
            </c:numRef>
          </c:yVal>
          <c:smooth val="1"/>
        </c:ser>
        <c:axId val="40750953"/>
        <c:axId val="31214258"/>
      </c:scatterChart>
      <c:valAx>
        <c:axId val="4075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1214258"/>
        <c:crosses val="autoZero"/>
        <c:crossBetween val="midCat"/>
        <c:dispUnits/>
      </c:valAx>
      <c:valAx>
        <c:axId val="31214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0750953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Полные усилия и момент в шарнире A</a:t>
            </a:r>
          </a:p>
        </c:rich>
      </c:tx>
      <c:layout>
        <c:manualLayout>
          <c:xMode val="factor"/>
          <c:yMode val="factor"/>
          <c:x val="0.00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25"/>
          <c:w val="0.803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Расчет!$A$134</c:f>
              <c:strCache>
                <c:ptCount val="1"/>
                <c:pt idx="0">
                  <c:v>Px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Расчет!$B$134:$Z$134</c:f>
              <c:numCache>
                <c:ptCount val="25"/>
                <c:pt idx="0">
                  <c:v>-3.062003965286692</c:v>
                </c:pt>
                <c:pt idx="1">
                  <c:v>-2.1593282640282823</c:v>
                </c:pt>
                <c:pt idx="2">
                  <c:v>-0.6901626260560256</c:v>
                </c:pt>
                <c:pt idx="3">
                  <c:v>0.48908968226309035</c:v>
                </c:pt>
                <c:pt idx="4">
                  <c:v>1.5334645200829486</c:v>
                </c:pt>
                <c:pt idx="5">
                  <c:v>2.387769436484805</c:v>
                </c:pt>
                <c:pt idx="6">
                  <c:v>3.032214664564366</c:v>
                </c:pt>
                <c:pt idx="7">
                  <c:v>3.771952049531018</c:v>
                </c:pt>
                <c:pt idx="8">
                  <c:v>4.202301179524677</c:v>
                </c:pt>
                <c:pt idx="9">
                  <c:v>4.346270428764779</c:v>
                </c:pt>
                <c:pt idx="10">
                  <c:v>4.194048530836046</c:v>
                </c:pt>
                <c:pt idx="11">
                  <c:v>3.756009156523689</c:v>
                </c:pt>
                <c:pt idx="12">
                  <c:v>11.98231012849817</c:v>
                </c:pt>
                <c:pt idx="13">
                  <c:v>16.167408068321905</c:v>
                </c:pt>
                <c:pt idx="14">
                  <c:v>18.9735350720756</c:v>
                </c:pt>
                <c:pt idx="15">
                  <c:v>20.030958477115266</c:v>
                </c:pt>
                <c:pt idx="16">
                  <c:v>18.987844346407968</c:v>
                </c:pt>
                <c:pt idx="17">
                  <c:v>15.500648558296025</c:v>
                </c:pt>
                <c:pt idx="18">
                  <c:v>9.312592701502297</c:v>
                </c:pt>
                <c:pt idx="19">
                  <c:v>0.7619502667838951</c:v>
                </c:pt>
                <c:pt idx="20">
                  <c:v>-7.043121306895053</c:v>
                </c:pt>
                <c:pt idx="21">
                  <c:v>-1.2694174918838428</c:v>
                </c:pt>
                <c:pt idx="22">
                  <c:v>48.02256136471904</c:v>
                </c:pt>
                <c:pt idx="23">
                  <c:v>118.81468084553418</c:v>
                </c:pt>
                <c:pt idx="24">
                  <c:v>-3.0620039652869195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Расчет!$A$135</c:f>
              <c:strCache>
                <c:ptCount val="1"/>
                <c:pt idx="0">
                  <c:v>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Расчет!$B$135:$Z$135</c:f>
              <c:numCache>
                <c:ptCount val="25"/>
                <c:pt idx="0">
                  <c:v>-3.0845506208164863</c:v>
                </c:pt>
                <c:pt idx="1">
                  <c:v>-3.77195204953102</c:v>
                </c:pt>
                <c:pt idx="2">
                  <c:v>-4.1977319818260845</c:v>
                </c:pt>
                <c:pt idx="3">
                  <c:v>-4.336577865371659</c:v>
                </c:pt>
                <c:pt idx="4">
                  <c:v>-4.178221026629458</c:v>
                </c:pt>
                <c:pt idx="5">
                  <c:v>-3.7339432387370763</c:v>
                </c:pt>
                <c:pt idx="6">
                  <c:v>-3.0345918317009257</c:v>
                </c:pt>
                <c:pt idx="7">
                  <c:v>-2.159328264028277</c:v>
                </c:pt>
                <c:pt idx="8">
                  <c:v>-1.1094979100287437</c:v>
                </c:pt>
                <c:pt idx="9">
                  <c:v>0.015942893007268033</c:v>
                </c:pt>
                <c:pt idx="10">
                  <c:v>1.1402972142317136</c:v>
                </c:pt>
                <c:pt idx="11">
                  <c:v>2.1869421647367275</c:v>
                </c:pt>
                <c:pt idx="12">
                  <c:v>-14.687984252637523</c:v>
                </c:pt>
                <c:pt idx="13">
                  <c:v>-10.504855989513874</c:v>
                </c:pt>
                <c:pt idx="14">
                  <c:v>-4.626869890040367</c:v>
                </c:pt>
                <c:pt idx="15">
                  <c:v>2.8035330144367485</c:v>
                </c:pt>
                <c:pt idx="16">
                  <c:v>11.793197398579007</c:v>
                </c:pt>
                <c:pt idx="17">
                  <c:v>22.644539019185995</c:v>
                </c:pt>
                <c:pt idx="18">
                  <c:v>36.19439977412333</c:v>
                </c:pt>
                <c:pt idx="19">
                  <c:v>54.085696064454105</c:v>
                </c:pt>
                <c:pt idx="20">
                  <c:v>78.28164306287991</c:v>
                </c:pt>
                <c:pt idx="21">
                  <c:v>104.98561446973645</c:v>
                </c:pt>
                <c:pt idx="22">
                  <c:v>96.03776127351571</c:v>
                </c:pt>
                <c:pt idx="23">
                  <c:v>-41.83502702234435</c:v>
                </c:pt>
                <c:pt idx="24">
                  <c:v>-3.0845506208163247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Расчет!$A$136</c:f>
              <c:strCache>
                <c:ptCount val="1"/>
                <c:pt idx="0">
                  <c:v>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Расчет!$B$136:$Z$136</c:f>
              <c:numCache>
                <c:ptCount val="25"/>
                <c:pt idx="0">
                  <c:v>119.57840120550642</c:v>
                </c:pt>
                <c:pt idx="1">
                  <c:v>126.01067351651953</c:v>
                </c:pt>
                <c:pt idx="2">
                  <c:v>123.89208025162581</c:v>
                </c:pt>
                <c:pt idx="3">
                  <c:v>113.3373708690717</c:v>
                </c:pt>
                <c:pt idx="4">
                  <c:v>95.07228381902328</c:v>
                </c:pt>
                <c:pt idx="5">
                  <c:v>70.33763446926282</c:v>
                </c:pt>
                <c:pt idx="6">
                  <c:v>40.81448403331341</c:v>
                </c:pt>
                <c:pt idx="7">
                  <c:v>8.262771897267172</c:v>
                </c:pt>
                <c:pt idx="8">
                  <c:v>-24.63273741996524</c:v>
                </c:pt>
                <c:pt idx="9">
                  <c:v>-55.84956638955043</c:v>
                </c:pt>
                <c:pt idx="10">
                  <c:v>-83.26033970546003</c:v>
                </c:pt>
                <c:pt idx="11">
                  <c:v>-104.99705846466136</c:v>
                </c:pt>
                <c:pt idx="12">
                  <c:v>-140.17197228973055</c:v>
                </c:pt>
                <c:pt idx="13">
                  <c:v>-150.07182729447683</c:v>
                </c:pt>
                <c:pt idx="14">
                  <c:v>-159.41983934563208</c:v>
                </c:pt>
                <c:pt idx="15">
                  <c:v>-169.10587686843934</c:v>
                </c:pt>
                <c:pt idx="16">
                  <c:v>-180.34297796806362</c:v>
                </c:pt>
                <c:pt idx="17">
                  <c:v>-195.08762626452545</c:v>
                </c:pt>
                <c:pt idx="18">
                  <c:v>-216.8252404702693</c:v>
                </c:pt>
                <c:pt idx="19">
                  <c:v>-251.9881505453606</c:v>
                </c:pt>
                <c:pt idx="20">
                  <c:v>-311.7121395387541</c:v>
                </c:pt>
                <c:pt idx="21">
                  <c:v>-408.39375892484134</c:v>
                </c:pt>
                <c:pt idx="22">
                  <c:v>-515.5365941175985</c:v>
                </c:pt>
                <c:pt idx="23">
                  <c:v>-436.988449267535</c:v>
                </c:pt>
                <c:pt idx="24">
                  <c:v>119.57840120550354</c:v>
                </c:pt>
              </c:numCache>
            </c:numRef>
          </c:val>
          <c:smooth val="0"/>
        </c:ser>
        <c:marker val="1"/>
        <c:axId val="16565139"/>
        <c:axId val="14868524"/>
      </c:lineChart>
      <c:catAx>
        <c:axId val="1656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868524"/>
        <c:crosses val="autoZero"/>
        <c:auto val="1"/>
        <c:lblOffset val="100"/>
        <c:noMultiLvlLbl val="0"/>
      </c:catAx>
      <c:valAx>
        <c:axId val="1486852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56513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55"/>
          <c:y val="0.45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Момент на приводном валу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2"/>
          <c:w val="0.83225"/>
          <c:h val="0.87475"/>
        </c:manualLayout>
      </c:layout>
      <c:lineChart>
        <c:grouping val="stacked"/>
        <c:varyColors val="0"/>
        <c:ser>
          <c:idx val="0"/>
          <c:order val="0"/>
          <c:tx>
            <c:strRef>
              <c:f>Расчет!$A$142</c:f>
              <c:strCache>
                <c:ptCount val="1"/>
                <c:pt idx="0">
                  <c:v>Mo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Расчет!$B$142:$Z$142</c:f>
              <c:numCache>
                <c:ptCount val="25"/>
                <c:pt idx="0">
                  <c:v>-11.680281783399739</c:v>
                </c:pt>
                <c:pt idx="1">
                  <c:v>-11.680281783361774</c:v>
                </c:pt>
                <c:pt idx="2">
                  <c:v>-12.578499034488656</c:v>
                </c:pt>
                <c:pt idx="3">
                  <c:v>-13.060805772586958</c:v>
                </c:pt>
                <c:pt idx="4">
                  <c:v>-13.052798175628329</c:v>
                </c:pt>
                <c:pt idx="5">
                  <c:v>-12.447685590345955</c:v>
                </c:pt>
                <c:pt idx="6">
                  <c:v>-11.476963417723251</c:v>
                </c:pt>
                <c:pt idx="7">
                  <c:v>-11.68028178336178</c:v>
                </c:pt>
                <c:pt idx="8">
                  <c:v>-11.68028178336177</c:v>
                </c:pt>
                <c:pt idx="9">
                  <c:v>-11.68028178336177</c:v>
                </c:pt>
                <c:pt idx="10">
                  <c:v>-11.680281783361783</c:v>
                </c:pt>
                <c:pt idx="11">
                  <c:v>-11.68028178336261</c:v>
                </c:pt>
                <c:pt idx="12">
                  <c:v>61.17984215707351</c:v>
                </c:pt>
                <c:pt idx="13">
                  <c:v>59.946862358701814</c:v>
                </c:pt>
                <c:pt idx="14">
                  <c:v>56.85658972387506</c:v>
                </c:pt>
                <c:pt idx="15">
                  <c:v>52.03989358289446</c:v>
                </c:pt>
                <c:pt idx="16">
                  <c:v>46.25717444965879</c:v>
                </c:pt>
                <c:pt idx="17">
                  <c:v>41.81543120738998</c:v>
                </c:pt>
                <c:pt idx="18">
                  <c:v>44.77639455871283</c:v>
                </c:pt>
                <c:pt idx="19">
                  <c:v>69.75222801132865</c:v>
                </c:pt>
                <c:pt idx="20">
                  <c:v>146.91351996238208</c:v>
                </c:pt>
                <c:pt idx="21">
                  <c:v>308.68044018673</c:v>
                </c:pt>
                <c:pt idx="22">
                  <c:v>429.4882339835573</c:v>
                </c:pt>
                <c:pt idx="23">
                  <c:v>-64.8714804798904</c:v>
                </c:pt>
                <c:pt idx="24">
                  <c:v>-11.68028178339905</c:v>
                </c:pt>
              </c:numCache>
            </c:numRef>
          </c:val>
          <c:smooth val="0"/>
        </c:ser>
        <c:marker val="1"/>
        <c:axId val="66707853"/>
        <c:axId val="63499766"/>
      </c:lineChart>
      <c:catAx>
        <c:axId val="66707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99766"/>
        <c:crosses val="autoZero"/>
        <c:auto val="1"/>
        <c:lblOffset val="100"/>
        <c:noMultiLvlLbl val="0"/>
      </c:catAx>
      <c:valAx>
        <c:axId val="6349976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707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54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Зависимость углов Psi &amp; Ksi от Fi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9475"/>
          <c:w val="0.7995"/>
          <c:h val="0.87325"/>
        </c:manualLayout>
      </c:layout>
      <c:lineChart>
        <c:grouping val="stacked"/>
        <c:varyColors val="0"/>
        <c:ser>
          <c:idx val="0"/>
          <c:order val="0"/>
          <c:tx>
            <c:strRef>
              <c:f>Расчет!$A$48</c:f>
              <c:strCache>
                <c:ptCount val="1"/>
                <c:pt idx="0">
                  <c:v>Psi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Расчет!$B$48:$Z$48</c:f>
              <c:numCache>
                <c:ptCount val="25"/>
                <c:pt idx="0">
                  <c:v>-8.384570860765254E-16</c:v>
                </c:pt>
                <c:pt idx="1">
                  <c:v>0</c:v>
                </c:pt>
                <c:pt idx="2">
                  <c:v>0</c:v>
                </c:pt>
                <c:pt idx="3">
                  <c:v>-8.342088486892645E-17</c:v>
                </c:pt>
                <c:pt idx="4">
                  <c:v>7.181217349816539E-17</c:v>
                </c:pt>
                <c:pt idx="5">
                  <c:v>1.8585407074025885E-16</c:v>
                </c:pt>
                <c:pt idx="6">
                  <c:v>-5.409557929577757E-17</c:v>
                </c:pt>
                <c:pt idx="7">
                  <c:v>9.616412762052405E-17</c:v>
                </c:pt>
                <c:pt idx="8">
                  <c:v>3.4903906113146627E-16</c:v>
                </c:pt>
                <c:pt idx="9">
                  <c:v>-8.094527232494498E-17</c:v>
                </c:pt>
                <c:pt idx="10">
                  <c:v>-7.680529361218545E-17</c:v>
                </c:pt>
                <c:pt idx="11">
                  <c:v>-4.753069848009856E-16</c:v>
                </c:pt>
                <c:pt idx="12">
                  <c:v>0.034903039845331156</c:v>
                </c:pt>
                <c:pt idx="13">
                  <c:v>0.20866757778900916</c:v>
                </c:pt>
                <c:pt idx="14">
                  <c:v>0.37912100250848674</c:v>
                </c:pt>
                <c:pt idx="15">
                  <c:v>0.5430897508403595</c:v>
                </c:pt>
                <c:pt idx="16">
                  <c:v>0.696567449283576</c:v>
                </c:pt>
                <c:pt idx="17">
                  <c:v>0.8340673451128018</c:v>
                </c:pt>
                <c:pt idx="18">
                  <c:v>0.9475623849607655</c:v>
                </c:pt>
                <c:pt idx="19">
                  <c:v>1.024669821815509</c:v>
                </c:pt>
                <c:pt idx="20">
                  <c:v>1.0455657683493509</c:v>
                </c:pt>
                <c:pt idx="21">
                  <c:v>0.9784371352175582</c:v>
                </c:pt>
                <c:pt idx="22">
                  <c:v>0.7771183917522478</c:v>
                </c:pt>
                <c:pt idx="23">
                  <c:v>0.401451044847564</c:v>
                </c:pt>
                <c:pt idx="24">
                  <c:v>-8.869628679156632E-16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Расчет!$A$49</c:f>
              <c:strCache>
                <c:ptCount val="1"/>
                <c:pt idx="0">
                  <c:v>Ksi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Расчет!$B$49:$Z$49</c:f>
              <c:numCache>
                <c:ptCount val="25"/>
                <c:pt idx="0">
                  <c:v>0.052359877559832624</c:v>
                </c:pt>
                <c:pt idx="1">
                  <c:v>0.3141592653589791</c:v>
                </c:pt>
                <c:pt idx="2">
                  <c:v>0.5759586531581287</c:v>
                </c:pt>
                <c:pt idx="3">
                  <c:v>0.837758040957278</c:v>
                </c:pt>
                <c:pt idx="4">
                  <c:v>1.0995574287564276</c:v>
                </c:pt>
                <c:pt idx="5">
                  <c:v>1.361356816555577</c:v>
                </c:pt>
                <c:pt idx="6">
                  <c:v>1.6231562043547263</c:v>
                </c:pt>
                <c:pt idx="7">
                  <c:v>1.8849555921538759</c:v>
                </c:pt>
                <c:pt idx="8">
                  <c:v>2.146754979953025</c:v>
                </c:pt>
                <c:pt idx="9">
                  <c:v>2.4085543677521746</c:v>
                </c:pt>
                <c:pt idx="10">
                  <c:v>2.670353755551324</c:v>
                </c:pt>
                <c:pt idx="11">
                  <c:v>2.932153143350474</c:v>
                </c:pt>
                <c:pt idx="12">
                  <c:v>3.1241358158752868</c:v>
                </c:pt>
                <c:pt idx="13">
                  <c:v>3.0361009660198244</c:v>
                </c:pt>
                <c:pt idx="14">
                  <c:v>2.9447550029401515</c:v>
                </c:pt>
                <c:pt idx="15">
                  <c:v>2.8469243634728754</c:v>
                </c:pt>
                <c:pt idx="16">
                  <c:v>2.7386026741169416</c:v>
                </c:pt>
                <c:pt idx="17">
                  <c:v>2.614303182147018</c:v>
                </c:pt>
                <c:pt idx="18">
                  <c:v>2.465998834195832</c:v>
                </c:pt>
                <c:pt idx="19">
                  <c:v>2.2813068832514265</c:v>
                </c:pt>
                <c:pt idx="20">
                  <c:v>2.0404034419861192</c:v>
                </c:pt>
                <c:pt idx="21">
                  <c:v>1.7114754210551766</c:v>
                </c:pt>
                <c:pt idx="22">
                  <c:v>1.2483572897907171</c:v>
                </c:pt>
                <c:pt idx="23">
                  <c:v>0.6108905550868837</c:v>
                </c:pt>
                <c:pt idx="24">
                  <c:v>0.052359877559832624</c:v>
                </c:pt>
              </c:numCache>
            </c:numRef>
          </c:val>
          <c:smooth val="0"/>
        </c:ser>
        <c:marker val="1"/>
        <c:axId val="34626983"/>
        <c:axId val="43207392"/>
      </c:lineChart>
      <c:catAx>
        <c:axId val="3462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207392"/>
        <c:crosses val="autoZero"/>
        <c:auto val="1"/>
        <c:lblOffset val="100"/>
        <c:noMultiLvlLbl val="0"/>
      </c:catAx>
      <c:valAx>
        <c:axId val="43207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626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Компоненты скорости частицы 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Расчет!$A$84</c:f>
              <c:strCache>
                <c:ptCount val="1"/>
                <c:pt idx="0">
                  <c:v>X_t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Расчет!$B$84:$Z$84</c:f>
              <c:numCache>
                <c:ptCount val="25"/>
                <c:pt idx="0">
                  <c:v>-0.2093438249717577</c:v>
                </c:pt>
                <c:pt idx="1">
                  <c:v>-1.2360679774997727</c:v>
                </c:pt>
                <c:pt idx="2">
                  <c:v>-2.1785561400600932</c:v>
                </c:pt>
                <c:pt idx="3">
                  <c:v>-2.972579301909564</c:v>
                </c:pt>
                <c:pt idx="4">
                  <c:v>-3.5640260967534627</c:v>
                </c:pt>
                <c:pt idx="5">
                  <c:v>-3.9125904029352174</c:v>
                </c:pt>
                <c:pt idx="6">
                  <c:v>-3.9945181390182953</c:v>
                </c:pt>
                <c:pt idx="7">
                  <c:v>-3.8042260651806186</c:v>
                </c:pt>
                <c:pt idx="8">
                  <c:v>-3.354682271781705</c:v>
                </c:pt>
                <c:pt idx="9">
                  <c:v>-2.6765224254354454</c:v>
                </c:pt>
                <c:pt idx="10">
                  <c:v>-1.8159619989582036</c:v>
                </c:pt>
                <c:pt idx="11">
                  <c:v>-0.8316467632710554</c:v>
                </c:pt>
                <c:pt idx="12">
                  <c:v>0.02328878655464138</c:v>
                </c:pt>
                <c:pt idx="13">
                  <c:v>0.1435167179837365</c:v>
                </c:pt>
                <c:pt idx="14">
                  <c:v>0.2808997732800702</c:v>
                </c:pt>
                <c:pt idx="15">
                  <c:v>0.45399065458883625</c:v>
                </c:pt>
                <c:pt idx="16">
                  <c:v>0.690444960291037</c:v>
                </c:pt>
                <c:pt idx="17">
                  <c:v>1.0354388958542133</c:v>
                </c:pt>
                <c:pt idx="18">
                  <c:v>1.5664513150729367</c:v>
                </c:pt>
                <c:pt idx="19">
                  <c:v>2.4167141426346075</c:v>
                </c:pt>
                <c:pt idx="20">
                  <c:v>3.7927225737852703</c:v>
                </c:pt>
                <c:pt idx="21">
                  <c:v>5.8603781991324215</c:v>
                </c:pt>
                <c:pt idx="22">
                  <c:v>7.926038380763684</c:v>
                </c:pt>
                <c:pt idx="23">
                  <c:v>6.329874329931935</c:v>
                </c:pt>
                <c:pt idx="24">
                  <c:v>-0.2093438249717579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Расчет!$A$85</c:f>
              <c:strCache>
                <c:ptCount val="1"/>
                <c:pt idx="0">
                  <c:v>Y_t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Расчет!$B$85:$Z$85</c:f>
              <c:numCache>
                <c:ptCount val="25"/>
                <c:pt idx="0">
                  <c:v>3.994518139018087</c:v>
                </c:pt>
                <c:pt idx="1">
                  <c:v>3.804226065180621</c:v>
                </c:pt>
                <c:pt idx="2">
                  <c:v>3.354682271781706</c:v>
                </c:pt>
                <c:pt idx="3">
                  <c:v>2.6765224254354476</c:v>
                </c:pt>
                <c:pt idx="4">
                  <c:v>1.815961998958203</c:v>
                </c:pt>
                <c:pt idx="5">
                  <c:v>0.8316467632710545</c:v>
                </c:pt>
                <c:pt idx="6">
                  <c:v>-0.2093438249717563</c:v>
                </c:pt>
                <c:pt idx="7">
                  <c:v>-1.236067977499772</c:v>
                </c:pt>
                <c:pt idx="8">
                  <c:v>-2.1785561400600906</c:v>
                </c:pt>
                <c:pt idx="9">
                  <c:v>-2.9725793019095645</c:v>
                </c:pt>
                <c:pt idx="10">
                  <c:v>-3.5640260967534623</c:v>
                </c:pt>
                <c:pt idx="11">
                  <c:v>-3.912590402935227</c:v>
                </c:pt>
                <c:pt idx="12">
                  <c:v>1.3339426764047015</c:v>
                </c:pt>
                <c:pt idx="13">
                  <c:v>1.3554048741506255</c:v>
                </c:pt>
                <c:pt idx="14">
                  <c:v>1.4085848957554192</c:v>
                </c:pt>
                <c:pt idx="15">
                  <c:v>1.4958312807755485</c:v>
                </c:pt>
                <c:pt idx="16">
                  <c:v>1.619538124008464</c:v>
                </c:pt>
                <c:pt idx="17">
                  <c:v>1.778243841515587</c:v>
                </c:pt>
                <c:pt idx="18">
                  <c:v>1.9546443130581823</c:v>
                </c:pt>
                <c:pt idx="19">
                  <c:v>2.0793814618391866</c:v>
                </c:pt>
                <c:pt idx="20">
                  <c:v>1.9246995053428255</c:v>
                </c:pt>
                <c:pt idx="21">
                  <c:v>0.8299147732738358</c:v>
                </c:pt>
                <c:pt idx="22">
                  <c:v>-2.648077452541157</c:v>
                </c:pt>
                <c:pt idx="23">
                  <c:v>-9.039510319570459</c:v>
                </c:pt>
                <c:pt idx="24">
                  <c:v>3.9945181390180906</c:v>
                </c:pt>
              </c:numCache>
            </c:numRef>
          </c:val>
          <c:smooth val="0"/>
        </c:ser>
        <c:marker val="1"/>
        <c:axId val="53322209"/>
        <c:axId val="10137834"/>
      </c:lineChart>
      <c:catAx>
        <c:axId val="53322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37834"/>
        <c:crosses val="autoZero"/>
        <c:auto val="1"/>
        <c:lblOffset val="100"/>
        <c:noMultiLvlLbl val="0"/>
      </c:catAx>
      <c:valAx>
        <c:axId val="1013783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3322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Компоненты ускорения частицы 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Расчет!$A$86</c:f>
              <c:strCache>
                <c:ptCount val="1"/>
                <c:pt idx="0">
                  <c:v>X_tt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Расчет!$B$86:$Z$86</c:f>
              <c:numCache>
                <c:ptCount val="25"/>
                <c:pt idx="0">
                  <c:v>-3.9945181390182958</c:v>
                </c:pt>
                <c:pt idx="1">
                  <c:v>-3.804226065180618</c:v>
                </c:pt>
                <c:pt idx="2">
                  <c:v>-3.354682271781707</c:v>
                </c:pt>
                <c:pt idx="3">
                  <c:v>-2.676522425435448</c:v>
                </c:pt>
                <c:pt idx="4">
                  <c:v>-1.815961998958203</c:v>
                </c:pt>
                <c:pt idx="5">
                  <c:v>-0.8316467632710545</c:v>
                </c:pt>
                <c:pt idx="6">
                  <c:v>0.2093438249717572</c:v>
                </c:pt>
                <c:pt idx="7">
                  <c:v>1.236067977499772</c:v>
                </c:pt>
                <c:pt idx="8">
                  <c:v>2.17855614006009</c:v>
                </c:pt>
                <c:pt idx="9">
                  <c:v>2.9725793019095645</c:v>
                </c:pt>
                <c:pt idx="10">
                  <c:v>3.5640260967534623</c:v>
                </c:pt>
                <c:pt idx="11">
                  <c:v>3.9125904029352188</c:v>
                </c:pt>
                <c:pt idx="12">
                  <c:v>0.4454605939911465</c:v>
                </c:pt>
                <c:pt idx="13">
                  <c:v>0.4819970557741902</c:v>
                </c:pt>
                <c:pt idx="14">
                  <c:v>0.5790418421328397</c:v>
                </c:pt>
                <c:pt idx="15">
                  <c:v>0.7603725674111741</c:v>
                </c:pt>
                <c:pt idx="16">
                  <c:v>1.0738584267332072</c:v>
                </c:pt>
                <c:pt idx="17">
                  <c:v>1.6094904565219406</c:v>
                </c:pt>
                <c:pt idx="18">
                  <c:v>2.5301651148135353</c:v>
                </c:pt>
                <c:pt idx="19">
                  <c:v>4.099933587208638</c:v>
                </c:pt>
                <c:pt idx="20">
                  <c:v>6.556032518926758</c:v>
                </c:pt>
                <c:pt idx="21">
                  <c:v>8.964680102383827</c:v>
                </c:pt>
                <c:pt idx="22">
                  <c:v>4.491134643566199</c:v>
                </c:pt>
                <c:pt idx="23">
                  <c:v>-20.09758927942321</c:v>
                </c:pt>
                <c:pt idx="24">
                  <c:v>-3.9945181390182958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Расчет!$A$87</c:f>
              <c:strCache>
                <c:ptCount val="1"/>
                <c:pt idx="0">
                  <c:v>Y_tt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Расчет!$B$87:$Z$87</c:f>
              <c:numCache>
                <c:ptCount val="25"/>
                <c:pt idx="0">
                  <c:v>-0.20934382496379844</c:v>
                </c:pt>
                <c:pt idx="1">
                  <c:v>-1.23606797749979</c:v>
                </c:pt>
                <c:pt idx="2">
                  <c:v>-2.1785561400600937</c:v>
                </c:pt>
                <c:pt idx="3">
                  <c:v>-2.9725793019095645</c:v>
                </c:pt>
                <c:pt idx="4">
                  <c:v>-3.5640260967534627</c:v>
                </c:pt>
                <c:pt idx="5">
                  <c:v>-3.9125904029352174</c:v>
                </c:pt>
                <c:pt idx="6">
                  <c:v>-3.9945181390182953</c:v>
                </c:pt>
                <c:pt idx="7">
                  <c:v>-3.8042260651806186</c:v>
                </c:pt>
                <c:pt idx="8">
                  <c:v>-3.354682271781704</c:v>
                </c:pt>
                <c:pt idx="9">
                  <c:v>-2.6765224254354454</c:v>
                </c:pt>
                <c:pt idx="10">
                  <c:v>-1.8159619989582036</c:v>
                </c:pt>
                <c:pt idx="11">
                  <c:v>-0.8316467632711387</c:v>
                </c:pt>
                <c:pt idx="12">
                  <c:v>0.02327932406897062</c:v>
                </c:pt>
                <c:pt idx="13">
                  <c:v>0.14138919177195824</c:v>
                </c:pt>
                <c:pt idx="14">
                  <c:v>0.2664352612333422</c:v>
                </c:pt>
                <c:pt idx="15">
                  <c:v>0.40181021687574564</c:v>
                </c:pt>
                <c:pt idx="16">
                  <c:v>0.542952155300438</c:v>
                </c:pt>
                <c:pt idx="17">
                  <c:v>0.6604006136115346</c:v>
                </c:pt>
                <c:pt idx="18">
                  <c:v>0.6488689868466176</c:v>
                </c:pt>
                <c:pt idx="19">
                  <c:v>0.17542684743800963</c:v>
                </c:pt>
                <c:pt idx="20">
                  <c:v>-1.7442886183743087</c:v>
                </c:pt>
                <c:pt idx="21">
                  <c:v>-7.576054200293376</c:v>
                </c:pt>
                <c:pt idx="22">
                  <c:v>-19.907689897269652</c:v>
                </c:pt>
                <c:pt idx="23">
                  <c:v>-24.37655742617364</c:v>
                </c:pt>
                <c:pt idx="24">
                  <c:v>-0.20934382496393442</c:v>
                </c:pt>
              </c:numCache>
            </c:numRef>
          </c:val>
          <c:smooth val="0"/>
        </c:ser>
        <c:marker val="1"/>
        <c:axId val="24131643"/>
        <c:axId val="15858196"/>
      </c:lineChart>
      <c:catAx>
        <c:axId val="2413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58196"/>
        <c:crosses val="autoZero"/>
        <c:auto val="1"/>
        <c:lblOffset val="100"/>
        <c:noMultiLvlLbl val="0"/>
      </c:catAx>
      <c:valAx>
        <c:axId val="1585819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4131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Усилия и момент на приводном валу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2075"/>
          <c:w val="0.82525"/>
          <c:h val="0.84075"/>
        </c:manualLayout>
      </c:layout>
      <c:lineChart>
        <c:grouping val="stacked"/>
        <c:varyColors val="0"/>
        <c:ser>
          <c:idx val="0"/>
          <c:order val="0"/>
          <c:tx>
            <c:strRef>
              <c:f>Расчет!$A$140</c:f>
              <c:strCache>
                <c:ptCount val="1"/>
                <c:pt idx="0">
                  <c:v>Px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Расчет!$B$140:$Z$140</c:f>
              <c:numCache>
                <c:ptCount val="25"/>
                <c:pt idx="0">
                  <c:v>-33.06200396528669</c:v>
                </c:pt>
                <c:pt idx="1">
                  <c:v>-28.031274511470084</c:v>
                </c:pt>
                <c:pt idx="2">
                  <c:v>-20.670924739589186</c:v>
                </c:pt>
                <c:pt idx="3">
                  <c:v>-12.238832379094768</c:v>
                </c:pt>
                <c:pt idx="4">
                  <c:v>-3.0742306345037926</c:v>
                </c:pt>
                <c:pt idx="5">
                  <c:v>6.214307998878003</c:v>
                </c:pt>
                <c:pt idx="6">
                  <c:v>15.032214664564362</c:v>
                </c:pt>
                <c:pt idx="7">
                  <c:v>23.127633318075468</c:v>
                </c:pt>
                <c:pt idx="8">
                  <c:v>29.59460602493794</c:v>
                </c:pt>
                <c:pt idx="9">
                  <c:v>34.04475523859978</c:v>
                </c:pt>
                <c:pt idx="10">
                  <c:v>36.1748106443692</c:v>
                </c:pt>
                <c:pt idx="11">
                  <c:v>35.83961248642599</c:v>
                </c:pt>
                <c:pt idx="12">
                  <c:v>41.98231012849817</c:v>
                </c:pt>
                <c:pt idx="13">
                  <c:v>42.0393543157637</c:v>
                </c:pt>
                <c:pt idx="14">
                  <c:v>38.95429718560876</c:v>
                </c:pt>
                <c:pt idx="15">
                  <c:v>32.75888053847312</c:v>
                </c:pt>
                <c:pt idx="16">
                  <c:v>23.59553950099472</c:v>
                </c:pt>
                <c:pt idx="17">
                  <c:v>11.674109995902823</c:v>
                </c:pt>
                <c:pt idx="18">
                  <c:v>-2.687407298497698</c:v>
                </c:pt>
                <c:pt idx="19">
                  <c:v>-18.593731001760535</c:v>
                </c:pt>
                <c:pt idx="20">
                  <c:v>-32.435426152308324</c:v>
                </c:pt>
                <c:pt idx="21">
                  <c:v>-30.967902301718834</c:v>
                </c:pt>
                <c:pt idx="22">
                  <c:v>16.041799251185882</c:v>
                </c:pt>
                <c:pt idx="23">
                  <c:v>86.73107751563188</c:v>
                </c:pt>
                <c:pt idx="24">
                  <c:v>-33.06200396528692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Расчет!$A$141</c:f>
              <c:strCache>
                <c:ptCount val="1"/>
                <c:pt idx="0">
                  <c:v>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Расчет!$B$141:$Z$141</c:f>
              <c:numCache>
                <c:ptCount val="25"/>
                <c:pt idx="0">
                  <c:v>-15.084550620816486</c:v>
                </c:pt>
                <c:pt idx="1">
                  <c:v>-23.127633318075464</c:v>
                </c:pt>
                <c:pt idx="2">
                  <c:v>-29.590036827239345</c:v>
                </c:pt>
                <c:pt idx="3">
                  <c:v>-34.03506267520665</c:v>
                </c:pt>
                <c:pt idx="4">
                  <c:v>-36.15898314016262</c:v>
                </c:pt>
                <c:pt idx="5">
                  <c:v>-35.81754656863938</c:v>
                </c:pt>
                <c:pt idx="6">
                  <c:v>-33.03459183170092</c:v>
                </c:pt>
                <c:pt idx="7">
                  <c:v>-28.03127451147008</c:v>
                </c:pt>
                <c:pt idx="8">
                  <c:v>-21.090260023561907</c:v>
                </c:pt>
                <c:pt idx="9">
                  <c:v>-12.711979168350592</c:v>
                </c:pt>
                <c:pt idx="10">
                  <c:v>-3.467397940355019</c:v>
                </c:pt>
                <c:pt idx="11">
                  <c:v>6.013480727129915</c:v>
                </c:pt>
                <c:pt idx="12">
                  <c:v>-2.687984252637529</c:v>
                </c:pt>
                <c:pt idx="13">
                  <c:v>8.85082527903057</c:v>
                </c:pt>
                <c:pt idx="14">
                  <c:v>20.765434955372903</c:v>
                </c:pt>
                <c:pt idx="15">
                  <c:v>32.502017824271746</c:v>
                </c:pt>
                <c:pt idx="16">
                  <c:v>43.773959512112164</c:v>
                </c:pt>
                <c:pt idx="17">
                  <c:v>54.7281423490883</c:v>
                </c:pt>
                <c:pt idx="18">
                  <c:v>66.19439977412333</c:v>
                </c:pt>
                <c:pt idx="19">
                  <c:v>79.95764231189591</c:v>
                </c:pt>
                <c:pt idx="20">
                  <c:v>98.26240517641307</c:v>
                </c:pt>
                <c:pt idx="21">
                  <c:v>117.7135365310943</c:v>
                </c:pt>
                <c:pt idx="22">
                  <c:v>100.64545642810246</c:v>
                </c:pt>
                <c:pt idx="23">
                  <c:v>-45.66156558473755</c:v>
                </c:pt>
                <c:pt idx="24">
                  <c:v>-15.084550620816318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Расчет!$A$142</c:f>
              <c:strCache>
                <c:ptCount val="1"/>
                <c:pt idx="0">
                  <c:v>Mo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Расчет!$B$142:$Z$142</c:f>
              <c:numCache>
                <c:ptCount val="25"/>
                <c:pt idx="0">
                  <c:v>-11.680281783399739</c:v>
                </c:pt>
                <c:pt idx="1">
                  <c:v>-11.680281783361774</c:v>
                </c:pt>
                <c:pt idx="2">
                  <c:v>-12.578499034488656</c:v>
                </c:pt>
                <c:pt idx="3">
                  <c:v>-13.060805772586958</c:v>
                </c:pt>
                <c:pt idx="4">
                  <c:v>-13.052798175628329</c:v>
                </c:pt>
                <c:pt idx="5">
                  <c:v>-12.447685590345955</c:v>
                </c:pt>
                <c:pt idx="6">
                  <c:v>-11.476963417723251</c:v>
                </c:pt>
                <c:pt idx="7">
                  <c:v>-11.68028178336178</c:v>
                </c:pt>
                <c:pt idx="8">
                  <c:v>-11.68028178336177</c:v>
                </c:pt>
                <c:pt idx="9">
                  <c:v>-11.68028178336177</c:v>
                </c:pt>
                <c:pt idx="10">
                  <c:v>-11.680281783361783</c:v>
                </c:pt>
                <c:pt idx="11">
                  <c:v>-11.68028178336261</c:v>
                </c:pt>
                <c:pt idx="12">
                  <c:v>61.17984215707351</c:v>
                </c:pt>
                <c:pt idx="13">
                  <c:v>59.946862358701814</c:v>
                </c:pt>
                <c:pt idx="14">
                  <c:v>56.85658972387506</c:v>
                </c:pt>
                <c:pt idx="15">
                  <c:v>52.03989358289446</c:v>
                </c:pt>
                <c:pt idx="16">
                  <c:v>46.25717444965879</c:v>
                </c:pt>
                <c:pt idx="17">
                  <c:v>41.81543120738998</c:v>
                </c:pt>
                <c:pt idx="18">
                  <c:v>44.77639455871283</c:v>
                </c:pt>
                <c:pt idx="19">
                  <c:v>69.75222801132865</c:v>
                </c:pt>
                <c:pt idx="20">
                  <c:v>146.91351996238208</c:v>
                </c:pt>
                <c:pt idx="21">
                  <c:v>308.68044018673</c:v>
                </c:pt>
                <c:pt idx="22">
                  <c:v>429.4882339835573</c:v>
                </c:pt>
                <c:pt idx="23">
                  <c:v>-64.8714804798904</c:v>
                </c:pt>
                <c:pt idx="24">
                  <c:v>-11.68028178339905</c:v>
                </c:pt>
              </c:numCache>
            </c:numRef>
          </c:val>
          <c:smooth val="0"/>
        </c:ser>
        <c:marker val="1"/>
        <c:axId val="8506037"/>
        <c:axId val="9445470"/>
      </c:lineChart>
      <c:catAx>
        <c:axId val="850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445470"/>
        <c:crosses val="autoZero"/>
        <c:auto val="1"/>
        <c:lblOffset val="100"/>
        <c:noMultiLvlLbl val="0"/>
      </c:catAx>
      <c:valAx>
        <c:axId val="944547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506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44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Технологические усилия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245"/>
          <c:w val="0.75175"/>
          <c:h val="0.83825"/>
        </c:manualLayout>
      </c:layout>
      <c:lineChart>
        <c:grouping val="stacked"/>
        <c:varyColors val="0"/>
        <c:ser>
          <c:idx val="0"/>
          <c:order val="0"/>
          <c:tx>
            <c:strRef>
              <c:f>Расчет!$A$115</c:f>
              <c:strCache>
                <c:ptCount val="1"/>
                <c:pt idx="0">
                  <c:v>Qtex_x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Расчет!$B$115:$Z$115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0.41933528397271197</c:v>
                </c:pt>
                <c:pt idx="3">
                  <c:v>0.473146789255815</c:v>
                </c:pt>
                <c:pt idx="4">
                  <c:v>0.3931673058512401</c:v>
                </c:pt>
                <c:pt idx="5">
                  <c:v>0.2008272717483016</c:v>
                </c:pt>
                <c:pt idx="6">
                  <c:v>-0.05233595624294384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Расчет!$A$116</c:f>
              <c:strCache>
                <c:ptCount val="1"/>
                <c:pt idx="0">
                  <c:v>Qtex_y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Расчет!$B$116:$Z$116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0.004569197698588021</c:v>
                </c:pt>
                <c:pt idx="3">
                  <c:v>0.009692563393117304</c:v>
                </c:pt>
                <c:pt idx="4">
                  <c:v>0.01582750420658862</c:v>
                </c:pt>
                <c:pt idx="5">
                  <c:v>0.022065917786670962</c:v>
                </c:pt>
                <c:pt idx="6">
                  <c:v>0.027412133592044294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Расчет!$A$117</c:f>
              <c:strCache>
                <c:ptCount val="1"/>
                <c:pt idx="0">
                  <c:v>Qtex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Расчет!$B$117:$Z$117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0.49999999999999994</c:v>
                </c:pt>
                <c:pt idx="3">
                  <c:v>0.7071067811865475</c:v>
                </c:pt>
                <c:pt idx="4">
                  <c:v>0.8660254037844386</c:v>
                </c:pt>
                <c:pt idx="5">
                  <c:v>0.9659258262890683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7900367"/>
        <c:axId val="26885576"/>
      </c:lineChart>
      <c:catAx>
        <c:axId val="1790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885576"/>
        <c:crosses val="autoZero"/>
        <c:auto val="1"/>
        <c:lblOffset val="100"/>
        <c:noMultiLvlLbl val="0"/>
      </c:catAx>
      <c:valAx>
        <c:axId val="26885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900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42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частицы M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3625"/>
          <c:w val="0.92275"/>
          <c:h val="0.70325"/>
        </c:manualLayout>
      </c:layout>
      <c:lineChart>
        <c:grouping val="stacked"/>
        <c:varyColors val="0"/>
        <c:ser>
          <c:idx val="0"/>
          <c:order val="0"/>
          <c:tx>
            <c:strRef>
              <c:f>Расчет!$A$75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Расчет!$B$75:$Z$75</c:f>
              <c:numCache>
                <c:ptCount val="25"/>
                <c:pt idx="0">
                  <c:v>23.994518139018297</c:v>
                </c:pt>
                <c:pt idx="1">
                  <c:v>23.804226065180615</c:v>
                </c:pt>
                <c:pt idx="2">
                  <c:v>23.354682271781698</c:v>
                </c:pt>
                <c:pt idx="3">
                  <c:v>22.676522425435433</c:v>
                </c:pt>
                <c:pt idx="4">
                  <c:v>21.815961998958187</c:v>
                </c:pt>
                <c:pt idx="5">
                  <c:v>20.83164676327104</c:v>
                </c:pt>
                <c:pt idx="6">
                  <c:v>19.790656175028225</c:v>
                </c:pt>
                <c:pt idx="7">
                  <c:v>18.76393202250021</c:v>
                </c:pt>
                <c:pt idx="8">
                  <c:v>17.821443859939894</c:v>
                </c:pt>
                <c:pt idx="9">
                  <c:v>17.027420698090424</c:v>
                </c:pt>
                <c:pt idx="10">
                  <c:v>16.435973903246527</c:v>
                </c:pt>
                <c:pt idx="11">
                  <c:v>16.087409597064777</c:v>
                </c:pt>
                <c:pt idx="12">
                  <c:v>15.993300875748128</c:v>
                </c:pt>
                <c:pt idx="13">
                  <c:v>15.76192999621276</c:v>
                </c:pt>
                <c:pt idx="14">
                  <c:v>15.225124026949802</c:v>
                </c:pt>
                <c:pt idx="15">
                  <c:v>14.445798328535394</c:v>
                </c:pt>
                <c:pt idx="16">
                  <c:v>13.52501774084915</c:v>
                </c:pt>
                <c:pt idx="17">
                  <c:v>12.605728526005674</c:v>
                </c:pt>
                <c:pt idx="18">
                  <c:v>11.88262688892899</c:v>
                </c:pt>
                <c:pt idx="19">
                  <c:v>11.623689307742096</c:v>
                </c:pt>
                <c:pt idx="20">
                  <c:v>12.206806121927414</c:v>
                </c:pt>
                <c:pt idx="21">
                  <c:v>14.13897572298026</c:v>
                </c:pt>
                <c:pt idx="22">
                  <c:v>17.822769284556962</c:v>
                </c:pt>
                <c:pt idx="23">
                  <c:v>22.322489624152976</c:v>
                </c:pt>
                <c:pt idx="24">
                  <c:v>23.994518139018297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Расчет!$A$76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Расчет!$B$76:$Z$76</c:f>
              <c:numCache>
                <c:ptCount val="25"/>
                <c:pt idx="0">
                  <c:v>0.20934382497175857</c:v>
                </c:pt>
                <c:pt idx="1">
                  <c:v>1.2360679774997898</c:v>
                </c:pt>
                <c:pt idx="2">
                  <c:v>2.178556140060108</c:v>
                </c:pt>
                <c:pt idx="3">
                  <c:v>2.9725793019095748</c:v>
                </c:pt>
                <c:pt idx="4">
                  <c:v>3.5640260967534725</c:v>
                </c:pt>
                <c:pt idx="5">
                  <c:v>3.912590402935226</c:v>
                </c:pt>
                <c:pt idx="6">
                  <c:v>3.994518139018294</c:v>
                </c:pt>
                <c:pt idx="7">
                  <c:v>3.804226065180616</c:v>
                </c:pt>
                <c:pt idx="8">
                  <c:v>3.354682271781703</c:v>
                </c:pt>
                <c:pt idx="9">
                  <c:v>2.676522425435431</c:v>
                </c:pt>
                <c:pt idx="10">
                  <c:v>1.8159619989581852</c:v>
                </c:pt>
                <c:pt idx="11">
                  <c:v>0.8316467632710289</c:v>
                </c:pt>
                <c:pt idx="12">
                  <c:v>0.4885752483754845</c:v>
                </c:pt>
                <c:pt idx="13">
                  <c:v>2.907063323967646</c:v>
                </c:pt>
                <c:pt idx="14">
                  <c:v>5.223524506732214</c:v>
                </c:pt>
                <c:pt idx="15">
                  <c:v>7.3630934869387605</c:v>
                </c:pt>
                <c:pt idx="16">
                  <c:v>9.267744654893425</c:v>
                </c:pt>
                <c:pt idx="17">
                  <c:v>10.900813842380426</c:v>
                </c:pt>
                <c:pt idx="18">
                  <c:v>12.24538526305678</c:v>
                </c:pt>
                <c:pt idx="19">
                  <c:v>13.286628890013843</c:v>
                </c:pt>
                <c:pt idx="20">
                  <c:v>13.94948492289076</c:v>
                </c:pt>
                <c:pt idx="21">
                  <c:v>13.915993687785607</c:v>
                </c:pt>
                <c:pt idx="22">
                  <c:v>12.208596557526487</c:v>
                </c:pt>
                <c:pt idx="23">
                  <c:v>6.983441890391568</c:v>
                </c:pt>
                <c:pt idx="24">
                  <c:v>0.20934382497175663</c:v>
                </c:pt>
              </c:numCache>
            </c:numRef>
          </c:val>
          <c:smooth val="0"/>
        </c:ser>
        <c:marker val="1"/>
        <c:axId val="40643593"/>
        <c:axId val="30248018"/>
      </c:lineChart>
      <c:catAx>
        <c:axId val="4064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48018"/>
        <c:crosses val="autoZero"/>
        <c:auto val="1"/>
        <c:lblOffset val="100"/>
        <c:noMultiLvlLbl val="0"/>
      </c:catAx>
      <c:valAx>
        <c:axId val="3024801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0643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"/>
          <c:y val="0.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Компоненты скорости частицы 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2"/>
          <c:w val="0.93425"/>
          <c:h val="0.69725"/>
        </c:manualLayout>
      </c:layout>
      <c:lineChart>
        <c:grouping val="stacked"/>
        <c:varyColors val="0"/>
        <c:ser>
          <c:idx val="0"/>
          <c:order val="0"/>
          <c:tx>
            <c:strRef>
              <c:f>Расчет!$A$77</c:f>
              <c:strCache>
                <c:ptCount val="1"/>
                <c:pt idx="0">
                  <c:v>X_t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Расчет!$B$77:$Z$77</c:f>
              <c:numCache>
                <c:ptCount val="25"/>
                <c:pt idx="0">
                  <c:v>-0.20934382497177534</c:v>
                </c:pt>
                <c:pt idx="1">
                  <c:v>-1.2360679774997896</c:v>
                </c:pt>
                <c:pt idx="2">
                  <c:v>-2.178556140060108</c:v>
                </c:pt>
                <c:pt idx="3">
                  <c:v>-2.9725793019095765</c:v>
                </c:pt>
                <c:pt idx="4">
                  <c:v>-3.564026096753471</c:v>
                </c:pt>
                <c:pt idx="5">
                  <c:v>-3.9125904029352223</c:v>
                </c:pt>
                <c:pt idx="6">
                  <c:v>-3.9945181390182953</c:v>
                </c:pt>
                <c:pt idx="7">
                  <c:v>-3.804226065180614</c:v>
                </c:pt>
                <c:pt idx="8">
                  <c:v>-3.354682271781696</c:v>
                </c:pt>
                <c:pt idx="9">
                  <c:v>-2.676522425435433</c:v>
                </c:pt>
                <c:pt idx="10">
                  <c:v>-1.8159619989581868</c:v>
                </c:pt>
                <c:pt idx="11">
                  <c:v>-0.8316467632710385</c:v>
                </c:pt>
                <c:pt idx="12">
                  <c:v>-0.25579377107107415</c:v>
                </c:pt>
                <c:pt idx="13">
                  <c:v>-1.4953101712903565</c:v>
                </c:pt>
                <c:pt idx="14">
                  <c:v>-2.5655847768899998</c:v>
                </c:pt>
                <c:pt idx="15">
                  <c:v>-3.323892316392295</c:v>
                </c:pt>
                <c:pt idx="16">
                  <c:v>-3.6199267444026306</c:v>
                </c:pt>
                <c:pt idx="17">
                  <c:v>-3.2802883647673213</c:v>
                </c:pt>
                <c:pt idx="18">
                  <c:v>-2.07564892084512</c:v>
                </c:pt>
                <c:pt idx="19">
                  <c:v>0.33544625881557444</c:v>
                </c:pt>
                <c:pt idx="20">
                  <c:v>4.449783026790611</c:v>
                </c:pt>
                <c:pt idx="21">
                  <c:v>10.636161859677902</c:v>
                </c:pt>
                <c:pt idx="22">
                  <c:v>17.091152953471962</c:v>
                </c:pt>
                <c:pt idx="23">
                  <c:v>14.577215679923382</c:v>
                </c:pt>
                <c:pt idx="24">
                  <c:v>-0.20934382497177437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Расчет!$A$78</c:f>
              <c:strCache>
                <c:ptCount val="1"/>
                <c:pt idx="0">
                  <c:v>Y_t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Расчет!$B$78:$Z$78</c:f>
              <c:numCache>
                <c:ptCount val="25"/>
                <c:pt idx="0">
                  <c:v>3.994518139017773</c:v>
                </c:pt>
                <c:pt idx="1">
                  <c:v>3.8042260651806212</c:v>
                </c:pt>
                <c:pt idx="2">
                  <c:v>3.3546822717816984</c:v>
                </c:pt>
                <c:pt idx="3">
                  <c:v>2.676522425435436</c:v>
                </c:pt>
                <c:pt idx="4">
                  <c:v>1.8159619989581874</c:v>
                </c:pt>
                <c:pt idx="5">
                  <c:v>0.8316467632710373</c:v>
                </c:pt>
                <c:pt idx="6">
                  <c:v>-0.20934382497177287</c:v>
                </c:pt>
                <c:pt idx="7">
                  <c:v>-1.23606797749979</c:v>
                </c:pt>
                <c:pt idx="8">
                  <c:v>-2.178556140060102</c:v>
                </c:pt>
                <c:pt idx="9">
                  <c:v>-2.9725793019095765</c:v>
                </c:pt>
                <c:pt idx="10">
                  <c:v>-3.564026096753471</c:v>
                </c:pt>
                <c:pt idx="11">
                  <c:v>-3.912590402935243</c:v>
                </c:pt>
                <c:pt idx="12">
                  <c:v>9.326633899539198</c:v>
                </c:pt>
                <c:pt idx="13">
                  <c:v>9.094851283147486</c:v>
                </c:pt>
                <c:pt idx="14">
                  <c:v>8.553485647061098</c:v>
                </c:pt>
                <c:pt idx="15">
                  <c:v>7.754361840092027</c:v>
                </c:pt>
                <c:pt idx="16">
                  <c:v>6.772788308458448</c:v>
                </c:pt>
                <c:pt idx="17">
                  <c:v>5.693079748695541</c:v>
                </c:pt>
                <c:pt idx="18">
                  <c:v>4.572595045187807</c:v>
                </c:pt>
                <c:pt idx="19">
                  <c:v>3.344351688348313</c:v>
                </c:pt>
                <c:pt idx="20">
                  <c:v>1.5439145532669514</c:v>
                </c:pt>
                <c:pt idx="21">
                  <c:v>-2.3840820196797132</c:v>
                </c:pt>
                <c:pt idx="22">
                  <c:v>-11.966232776483015</c:v>
                </c:pt>
                <c:pt idx="23">
                  <c:v>-28.467661403328925</c:v>
                </c:pt>
                <c:pt idx="24">
                  <c:v>3.9945181390177393</c:v>
                </c:pt>
              </c:numCache>
            </c:numRef>
          </c:val>
          <c:smooth val="0"/>
        </c:ser>
        <c:marker val="1"/>
        <c:axId val="3796707"/>
        <c:axId val="34170364"/>
      </c:lineChart>
      <c:catAx>
        <c:axId val="379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170364"/>
        <c:crosses val="autoZero"/>
        <c:auto val="1"/>
        <c:lblOffset val="100"/>
        <c:noMultiLvlLbl val="0"/>
      </c:catAx>
      <c:valAx>
        <c:axId val="3417036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96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325"/>
          <c:y val="0.8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Компоненты ускорения частицы 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3945"/>
          <c:w val="0.93"/>
          <c:h val="0.44475"/>
        </c:manualLayout>
      </c:layout>
      <c:lineChart>
        <c:grouping val="stacked"/>
        <c:varyColors val="0"/>
        <c:ser>
          <c:idx val="0"/>
          <c:order val="0"/>
          <c:tx>
            <c:strRef>
              <c:f>Расчет!$A$79</c:f>
              <c:strCache>
                <c:ptCount val="1"/>
                <c:pt idx="0">
                  <c:v>X_tt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Расчет!$B$79:$Z$79</c:f>
              <c:numCache>
                <c:ptCount val="25"/>
                <c:pt idx="0">
                  <c:v>-3.9945181390182953</c:v>
                </c:pt>
                <c:pt idx="1">
                  <c:v>-3.804226065180614</c:v>
                </c:pt>
                <c:pt idx="2">
                  <c:v>-3.354682271781696</c:v>
                </c:pt>
                <c:pt idx="3">
                  <c:v>-2.676522425435433</c:v>
                </c:pt>
                <c:pt idx="4">
                  <c:v>-1.8159619989581874</c:v>
                </c:pt>
                <c:pt idx="5">
                  <c:v>-0.8316467632710373</c:v>
                </c:pt>
                <c:pt idx="6">
                  <c:v>0.2093438249717751</c:v>
                </c:pt>
                <c:pt idx="7">
                  <c:v>1.23606797749979</c:v>
                </c:pt>
                <c:pt idx="8">
                  <c:v>2.1785561400601074</c:v>
                </c:pt>
                <c:pt idx="9">
                  <c:v>2.9725793019095765</c:v>
                </c:pt>
                <c:pt idx="10">
                  <c:v>3.564026096753471</c:v>
                </c:pt>
                <c:pt idx="11">
                  <c:v>3.912590402935222</c:v>
                </c:pt>
                <c:pt idx="12">
                  <c:v>-4.8781257235495765</c:v>
                </c:pt>
                <c:pt idx="13">
                  <c:v>-4.501346458335448</c:v>
                </c:pt>
                <c:pt idx="14">
                  <c:v>-3.5844188023404495</c:v>
                </c:pt>
                <c:pt idx="15">
                  <c:v>-2.113852219625218</c:v>
                </c:pt>
                <c:pt idx="16">
                  <c:v>-0.03929693160426595</c:v>
                </c:pt>
                <c:pt idx="17">
                  <c:v>2.776255996398285</c:v>
                </c:pt>
                <c:pt idx="18">
                  <c:v>6.639428524491497</c:v>
                </c:pt>
                <c:pt idx="19">
                  <c:v>12.103935934271279</c:v>
                </c:pt>
                <c:pt idx="20">
                  <c:v>19.657915507407075</c:v>
                </c:pt>
                <c:pt idx="21">
                  <c:v>26.870569208824026</c:v>
                </c:pt>
                <c:pt idx="22">
                  <c:v>16.57387575404592</c:v>
                </c:pt>
                <c:pt idx="23">
                  <c:v>-44.37508759415496</c:v>
                </c:pt>
                <c:pt idx="24">
                  <c:v>-3.9945181390182953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Расчет!$A$80</c:f>
              <c:strCache>
                <c:ptCount val="1"/>
                <c:pt idx="0">
                  <c:v>Y_tt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Расчет!$B$80:$Z$80</c:f>
              <c:numCache>
                <c:ptCount val="25"/>
                <c:pt idx="0">
                  <c:v>-0.2093438249518773</c:v>
                </c:pt>
                <c:pt idx="1">
                  <c:v>-1.2360679774998307</c:v>
                </c:pt>
                <c:pt idx="2">
                  <c:v>-2.178556140060108</c:v>
                </c:pt>
                <c:pt idx="3">
                  <c:v>-2.9725793019095765</c:v>
                </c:pt>
                <c:pt idx="4">
                  <c:v>-3.564026096753471</c:v>
                </c:pt>
                <c:pt idx="5">
                  <c:v>-3.9125904029352223</c:v>
                </c:pt>
                <c:pt idx="6">
                  <c:v>-3.9945181390182953</c:v>
                </c:pt>
                <c:pt idx="7">
                  <c:v>-3.804226065180614</c:v>
                </c:pt>
                <c:pt idx="8">
                  <c:v>-3.354682271781696</c:v>
                </c:pt>
                <c:pt idx="9">
                  <c:v>-2.676522425435433</c:v>
                </c:pt>
                <c:pt idx="10">
                  <c:v>-1.8159619989581868</c:v>
                </c:pt>
                <c:pt idx="11">
                  <c:v>-0.8316467632712469</c:v>
                </c:pt>
                <c:pt idx="12">
                  <c:v>-0.2558174272852305</c:v>
                </c:pt>
                <c:pt idx="13">
                  <c:v>-1.5006289868197815</c:v>
                </c:pt>
                <c:pt idx="14">
                  <c:v>-2.6017460570067996</c:v>
                </c:pt>
                <c:pt idx="15">
                  <c:v>-3.4543434106749946</c:v>
                </c:pt>
                <c:pt idx="16">
                  <c:v>-3.988658756879101</c:v>
                </c:pt>
                <c:pt idx="17">
                  <c:v>-4.2178840703739775</c:v>
                </c:pt>
                <c:pt idx="18">
                  <c:v>-4.369604741410873</c:v>
                </c:pt>
                <c:pt idx="19">
                  <c:v>-5.267771979175848</c:v>
                </c:pt>
                <c:pt idx="20">
                  <c:v>-9.392744953608245</c:v>
                </c:pt>
                <c:pt idx="21">
                  <c:v>-22.954919138886495</c:v>
                </c:pt>
                <c:pt idx="22">
                  <c:v>-52.493167741611366</c:v>
                </c:pt>
                <c:pt idx="23">
                  <c:v>-62.1888637103409</c:v>
                </c:pt>
                <c:pt idx="24">
                  <c:v>-0.2093438249522157</c:v>
                </c:pt>
              </c:numCache>
            </c:numRef>
          </c:val>
          <c:smooth val="0"/>
        </c:ser>
        <c:marker val="1"/>
        <c:axId val="39097821"/>
        <c:axId val="16336070"/>
      </c:lineChart>
      <c:catAx>
        <c:axId val="390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336070"/>
        <c:crosses val="autoZero"/>
        <c:auto val="1"/>
        <c:lblOffset val="100"/>
        <c:noMultiLvlLbl val="0"/>
      </c:catAx>
      <c:valAx>
        <c:axId val="1633607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0978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05"/>
          <c:y val="0.8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центра масс 
1-го звена</a:t>
            </a:r>
          </a:p>
        </c:rich>
      </c:tx>
      <c:layout>
        <c:manualLayout>
          <c:xMode val="factor"/>
          <c:yMode val="factor"/>
          <c:x val="-0.006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2355"/>
          <c:w val="0.898"/>
          <c:h val="0.66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Расчет!$B$31:$Z$31</c:f>
              <c:numCache>
                <c:ptCount val="25"/>
                <c:pt idx="0">
                  <c:v>3</c:v>
                </c:pt>
                <c:pt idx="1">
                  <c:v>2.58719462474418</c:v>
                </c:pt>
                <c:pt idx="2">
                  <c:v>1.9980762113533161</c:v>
                </c:pt>
                <c:pt idx="3">
                  <c:v>1.272792206135786</c:v>
                </c:pt>
                <c:pt idx="4">
                  <c:v>0.4607695154586742</c:v>
                </c:pt>
                <c:pt idx="5">
                  <c:v>-0.3826538562393198</c:v>
                </c:pt>
                <c:pt idx="6">
                  <c:v>-1.1999999999999997</c:v>
                </c:pt>
                <c:pt idx="7">
                  <c:v>-1.9355681268544447</c:v>
                </c:pt>
                <c:pt idx="8">
                  <c:v>-2.539230484541326</c:v>
                </c:pt>
                <c:pt idx="9">
                  <c:v>-2.9698484809834995</c:v>
                </c:pt>
                <c:pt idx="10">
                  <c:v>-3.1980762113533157</c:v>
                </c:pt>
                <c:pt idx="11">
                  <c:v>-3.20836033299023</c:v>
                </c:pt>
                <c:pt idx="12">
                  <c:v>-3</c:v>
                </c:pt>
                <c:pt idx="13">
                  <c:v>-2.58719462474418</c:v>
                </c:pt>
                <c:pt idx="14">
                  <c:v>-1.998076211353316</c:v>
                </c:pt>
                <c:pt idx="15">
                  <c:v>-1.272792206135786</c:v>
                </c:pt>
                <c:pt idx="16">
                  <c:v>-0.4607695154586753</c:v>
                </c:pt>
                <c:pt idx="17">
                  <c:v>0.38265385623932013</c:v>
                </c:pt>
                <c:pt idx="18">
                  <c:v>1.1999999999999995</c:v>
                </c:pt>
                <c:pt idx="19">
                  <c:v>1.935568126854443</c:v>
                </c:pt>
                <c:pt idx="20">
                  <c:v>2.539230484541327</c:v>
                </c:pt>
                <c:pt idx="21">
                  <c:v>2.969848480983499</c:v>
                </c:pt>
                <c:pt idx="22">
                  <c:v>3.1980762113533157</c:v>
                </c:pt>
                <c:pt idx="23">
                  <c:v>3.20836033299023</c:v>
                </c:pt>
                <c:pt idx="24">
                  <c:v>3.0000000000000004</c:v>
                </c:pt>
              </c:numCache>
            </c:numRef>
          </c:xVal>
          <c:yVal>
            <c:numRef>
              <c:f>Расчет!$B$32:$Z$32</c:f>
              <c:numCache>
                <c:ptCount val="25"/>
                <c:pt idx="0">
                  <c:v>1.2</c:v>
                </c:pt>
                <c:pt idx="1">
                  <c:v>1.9355681268544442</c:v>
                </c:pt>
                <c:pt idx="2">
                  <c:v>2.539230484541326</c:v>
                </c:pt>
                <c:pt idx="3">
                  <c:v>2.9698484809834995</c:v>
                </c:pt>
                <c:pt idx="4">
                  <c:v>3.198076211353316</c:v>
                </c:pt>
                <c:pt idx="5">
                  <c:v>3.20836033299023</c:v>
                </c:pt>
                <c:pt idx="6">
                  <c:v>3</c:v>
                </c:pt>
                <c:pt idx="7">
                  <c:v>2.58719462474418</c:v>
                </c:pt>
                <c:pt idx="8">
                  <c:v>1.9980762113533164</c:v>
                </c:pt>
                <c:pt idx="9">
                  <c:v>1.272792206135786</c:v>
                </c:pt>
                <c:pt idx="10">
                  <c:v>0.4607695154586733</c:v>
                </c:pt>
                <c:pt idx="11">
                  <c:v>-0.3826538562393187</c:v>
                </c:pt>
                <c:pt idx="12">
                  <c:v>-1.1999999999999995</c:v>
                </c:pt>
                <c:pt idx="13">
                  <c:v>-1.9355681268544445</c:v>
                </c:pt>
                <c:pt idx="14">
                  <c:v>-2.539230484541327</c:v>
                </c:pt>
                <c:pt idx="15">
                  <c:v>-2.9698484809834995</c:v>
                </c:pt>
                <c:pt idx="16">
                  <c:v>-3.1980762113533157</c:v>
                </c:pt>
                <c:pt idx="17">
                  <c:v>-3.20836033299023</c:v>
                </c:pt>
                <c:pt idx="18">
                  <c:v>-3</c:v>
                </c:pt>
                <c:pt idx="19">
                  <c:v>-2.5871946247441806</c:v>
                </c:pt>
                <c:pt idx="20">
                  <c:v>-1.998076211353316</c:v>
                </c:pt>
                <c:pt idx="21">
                  <c:v>-1.2727922061357861</c:v>
                </c:pt>
                <c:pt idx="22">
                  <c:v>-0.4607695154586753</c:v>
                </c:pt>
                <c:pt idx="23">
                  <c:v>0.38265385623932</c:v>
                </c:pt>
                <c:pt idx="24">
                  <c:v>1.1999999999999993</c:v>
                </c:pt>
              </c:numCache>
            </c:numRef>
          </c:yVal>
          <c:smooth val="1"/>
        </c:ser>
        <c:axId val="12492867"/>
        <c:axId val="45326940"/>
      </c:scatterChart>
      <c:valAx>
        <c:axId val="12492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326940"/>
        <c:crosses val="autoZero"/>
        <c:crossBetween val="midCat"/>
        <c:dispUnits/>
      </c:valAx>
      <c:valAx>
        <c:axId val="45326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492867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точки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Расчет!$B$57:$Z$57</c:f>
              <c:numCache>
                <c:ptCount val="25"/>
                <c:pt idx="0">
                  <c:v>11.994518139018295</c:v>
                </c:pt>
                <c:pt idx="1">
                  <c:v>11.804226065180615</c:v>
                </c:pt>
                <c:pt idx="2">
                  <c:v>11.354682271781696</c:v>
                </c:pt>
                <c:pt idx="3">
                  <c:v>10.676522425435433</c:v>
                </c:pt>
                <c:pt idx="4">
                  <c:v>9.815961998958187</c:v>
                </c:pt>
                <c:pt idx="5">
                  <c:v>8.831646763271037</c:v>
                </c:pt>
                <c:pt idx="6">
                  <c:v>7.790656175028225</c:v>
                </c:pt>
                <c:pt idx="7">
                  <c:v>6.76393202250021</c:v>
                </c:pt>
                <c:pt idx="8">
                  <c:v>5.821443859939892</c:v>
                </c:pt>
                <c:pt idx="9">
                  <c:v>5.027420698090424</c:v>
                </c:pt>
                <c:pt idx="10">
                  <c:v>4.435973903246529</c:v>
                </c:pt>
                <c:pt idx="11">
                  <c:v>4.087409597064778</c:v>
                </c:pt>
                <c:pt idx="12">
                  <c:v>4.000609466888273</c:v>
                </c:pt>
                <c:pt idx="13">
                  <c:v>4.022236359376736</c:v>
                </c:pt>
                <c:pt idx="14">
                  <c:v>4.077240247710903</c:v>
                </c:pt>
                <c:pt idx="15">
                  <c:v>4.172405876152897</c:v>
                </c:pt>
                <c:pt idx="16">
                  <c:v>4.320429896964747</c:v>
                </c:pt>
                <c:pt idx="17">
                  <c:v>4.543303352439648</c:v>
                </c:pt>
                <c:pt idx="18">
                  <c:v>4.8786570505546605</c:v>
                </c:pt>
                <c:pt idx="19">
                  <c:v>5.391116509596711</c:v>
                </c:pt>
                <c:pt idx="20">
                  <c:v>6.189856132807031</c:v>
                </c:pt>
                <c:pt idx="21">
                  <c:v>7.4391378703378495</c:v>
                </c:pt>
                <c:pt idx="22">
                  <c:v>9.267523371874868</c:v>
                </c:pt>
                <c:pt idx="23">
                  <c:v>11.276550091422322</c:v>
                </c:pt>
                <c:pt idx="24">
                  <c:v>11.994518139018295</c:v>
                </c:pt>
              </c:numCache>
            </c:numRef>
          </c:xVal>
          <c:yVal>
            <c:numRef>
              <c:f>Расчет!$B$58:$Z$58</c:f>
              <c:numCache>
                <c:ptCount val="25"/>
                <c:pt idx="0">
                  <c:v>0.20934382497176862</c:v>
                </c:pt>
                <c:pt idx="1">
                  <c:v>1.2360679774997896</c:v>
                </c:pt>
                <c:pt idx="2">
                  <c:v>2.178556140060108</c:v>
                </c:pt>
                <c:pt idx="3">
                  <c:v>2.972579301909576</c:v>
                </c:pt>
                <c:pt idx="4">
                  <c:v>3.5640260967534716</c:v>
                </c:pt>
                <c:pt idx="5">
                  <c:v>3.9125904029352236</c:v>
                </c:pt>
                <c:pt idx="6">
                  <c:v>3.994518139018295</c:v>
                </c:pt>
                <c:pt idx="7">
                  <c:v>3.804226065180615</c:v>
                </c:pt>
                <c:pt idx="8">
                  <c:v>3.354682271781699</c:v>
                </c:pt>
                <c:pt idx="9">
                  <c:v>2.6765224254354325</c:v>
                </c:pt>
                <c:pt idx="10">
                  <c:v>1.815961998958186</c:v>
                </c:pt>
                <c:pt idx="11">
                  <c:v>0.8316467632710347</c:v>
                </c:pt>
                <c:pt idx="12">
                  <c:v>0.06982380436712887</c:v>
                </c:pt>
                <c:pt idx="13">
                  <c:v>0.42118454308718467</c:v>
                </c:pt>
                <c:pt idx="14">
                  <c:v>0.7822761186568203</c:v>
                </c:pt>
                <c:pt idx="15">
                  <c:v>1.1616898136297582</c:v>
                </c:pt>
                <c:pt idx="16">
                  <c:v>1.5686822039052883</c:v>
                </c:pt>
                <c:pt idx="17">
                  <c:v>2.0127712951910373</c:v>
                </c:pt>
                <c:pt idx="18">
                  <c:v>2.5014432218117353</c:v>
                </c:pt>
                <c:pt idx="19">
                  <c:v>3.032115916897169</c:v>
                </c:pt>
                <c:pt idx="20">
                  <c:v>3.5669846060872867</c:v>
                </c:pt>
                <c:pt idx="21">
                  <c:v>3.960484019852983</c:v>
                </c:pt>
                <c:pt idx="22">
                  <c:v>3.7938614236356814</c:v>
                </c:pt>
                <c:pt idx="23">
                  <c:v>2.2943886981940045</c:v>
                </c:pt>
                <c:pt idx="24">
                  <c:v>0.20934382497176726</c:v>
                </c:pt>
              </c:numCache>
            </c:numRef>
          </c:yVal>
          <c:smooth val="1"/>
        </c:ser>
        <c:axId val="5289277"/>
        <c:axId val="47603494"/>
      </c:scatterChart>
      <c:valAx>
        <c:axId val="528927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crossAx val="47603494"/>
        <c:crosses val="autoZero"/>
        <c:crossBetween val="midCat"/>
        <c:dispUnits/>
      </c:valAx>
      <c:valAx>
        <c:axId val="47603494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5289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центра масс  
2-го звена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4425"/>
          <c:w val="0.9425"/>
          <c:h val="0.823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Расчет!$B$64:$Z$64</c:f>
              <c:numCache>
                <c:ptCount val="25"/>
                <c:pt idx="0">
                  <c:v>6</c:v>
                </c:pt>
                <c:pt idx="1">
                  <c:v>5.809707926162312</c:v>
                </c:pt>
                <c:pt idx="2">
                  <c:v>5.360164132763394</c:v>
                </c:pt>
                <c:pt idx="3">
                  <c:v>4.682004286417132</c:v>
                </c:pt>
                <c:pt idx="4">
                  <c:v>3.821443859939884</c:v>
                </c:pt>
                <c:pt idx="5">
                  <c:v>2.837128624252733</c:v>
                </c:pt>
                <c:pt idx="6">
                  <c:v>1.7961380360099226</c:v>
                </c:pt>
                <c:pt idx="7">
                  <c:v>0.7694138834819064</c:v>
                </c:pt>
                <c:pt idx="8">
                  <c:v>-0.17307427907841322</c:v>
                </c:pt>
                <c:pt idx="9">
                  <c:v>-0.9670974409278785</c:v>
                </c:pt>
                <c:pt idx="10">
                  <c:v>-1.5585442357717731</c:v>
                </c:pt>
                <c:pt idx="11">
                  <c:v>-1.9071085419535203</c:v>
                </c:pt>
                <c:pt idx="12">
                  <c:v>-2.297016045872842</c:v>
                </c:pt>
                <c:pt idx="13">
                  <c:v>-3.663289649627411</c:v>
                </c:pt>
                <c:pt idx="14">
                  <c:v>-4.745066343437813</c:v>
                </c:pt>
                <c:pt idx="15">
                  <c:v>-5.502464532153528</c:v>
                </c:pt>
                <c:pt idx="16">
                  <c:v>-5.917643408790191</c:v>
                </c:pt>
                <c:pt idx="17">
                  <c:v>-5.995203318292298</c:v>
                </c:pt>
                <c:pt idx="18">
                  <c:v>-5.758098659050332</c:v>
                </c:pt>
                <c:pt idx="19">
                  <c:v>-5.234314197092433</c:v>
                </c:pt>
                <c:pt idx="20">
                  <c:v>-4.421619398317059</c:v>
                </c:pt>
                <c:pt idx="21">
                  <c:v>-3.2006756358381088</c:v>
                </c:pt>
                <c:pt idx="22">
                  <c:v>-1.1704449759000655</c:v>
                </c:pt>
                <c:pt idx="23">
                  <c:v>2.3236384838822763</c:v>
                </c:pt>
                <c:pt idx="24">
                  <c:v>6</c:v>
                </c:pt>
              </c:numCache>
            </c:numRef>
          </c:xVal>
          <c:yVal>
            <c:numRef>
              <c:f>Расчет!$B$65:$Z$65</c:f>
              <c:numCache>
                <c:ptCount val="25"/>
                <c:pt idx="0">
                  <c:v>9</c:v>
                </c:pt>
                <c:pt idx="1">
                  <c:v>10.026724152528017</c:v>
                </c:pt>
                <c:pt idx="2">
                  <c:v>10.969212315088335</c:v>
                </c:pt>
                <c:pt idx="3">
                  <c:v>11.763235476937803</c:v>
                </c:pt>
                <c:pt idx="4">
                  <c:v>12.354682271781698</c:v>
                </c:pt>
                <c:pt idx="5">
                  <c:v>12.70324657796345</c:v>
                </c:pt>
                <c:pt idx="6">
                  <c:v>12.785174314046522</c:v>
                </c:pt>
                <c:pt idx="7">
                  <c:v>12.594882240208841</c:v>
                </c:pt>
                <c:pt idx="8">
                  <c:v>12.145338446809923</c:v>
                </c:pt>
                <c:pt idx="9">
                  <c:v>11.46717860046366</c:v>
                </c:pt>
                <c:pt idx="10">
                  <c:v>10.606618173986414</c:v>
                </c:pt>
                <c:pt idx="11">
                  <c:v>9.622302938299264</c:v>
                </c:pt>
                <c:pt idx="12">
                  <c:v>8.64594160950493</c:v>
                </c:pt>
                <c:pt idx="13">
                  <c:v>7.779348286270814</c:v>
                </c:pt>
                <c:pt idx="14">
                  <c:v>6.7301152320117925</c:v>
                </c:pt>
                <c:pt idx="15">
                  <c:v>5.589642646379676</c:v>
                </c:pt>
                <c:pt idx="16">
                  <c:v>4.465531991617712</c:v>
                </c:pt>
                <c:pt idx="17">
                  <c:v>3.478977575875869</c:v>
                </c:pt>
                <c:pt idx="18">
                  <c:v>2.7647143382809265</c:v>
                </c:pt>
                <c:pt idx="19">
                  <c:v>2.475244294412441</c:v>
                </c:pt>
                <c:pt idx="20">
                  <c:v>2.788222281025238</c:v>
                </c:pt>
                <c:pt idx="21">
                  <c:v>3.895274661805038</c:v>
                </c:pt>
                <c:pt idx="22">
                  <c:v>5.857523333307416</c:v>
                </c:pt>
                <c:pt idx="23">
                  <c:v>8.043758877105434</c:v>
                </c:pt>
                <c:pt idx="24">
                  <c:v>9</c:v>
                </c:pt>
              </c:numCache>
            </c:numRef>
          </c:yVal>
          <c:smooth val="1"/>
        </c:ser>
        <c:axId val="25778263"/>
        <c:axId val="30677776"/>
      </c:scatterChart>
      <c:valAx>
        <c:axId val="25778263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677776"/>
        <c:crosses val="autoZero"/>
        <c:crossBetween val="midCat"/>
        <c:dispUnits/>
      </c:valAx>
      <c:valAx>
        <c:axId val="30677776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778263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точки М</a:t>
            </a:r>
          </a:p>
        </c:rich>
      </c:tx>
      <c:layout>
        <c:manualLayout>
          <c:xMode val="factor"/>
          <c:yMode val="factor"/>
          <c:x val="0.009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8975"/>
          <c:w val="0.97325"/>
          <c:h val="0.91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Расчет!$B$75:$Z$75</c:f>
              <c:numCache>
                <c:ptCount val="25"/>
                <c:pt idx="0">
                  <c:v>23.994518139018297</c:v>
                </c:pt>
                <c:pt idx="1">
                  <c:v>23.804226065180615</c:v>
                </c:pt>
                <c:pt idx="2">
                  <c:v>23.354682271781698</c:v>
                </c:pt>
                <c:pt idx="3">
                  <c:v>22.676522425435433</c:v>
                </c:pt>
                <c:pt idx="4">
                  <c:v>21.815961998958187</c:v>
                </c:pt>
                <c:pt idx="5">
                  <c:v>20.83164676327104</c:v>
                </c:pt>
                <c:pt idx="6">
                  <c:v>19.790656175028225</c:v>
                </c:pt>
                <c:pt idx="7">
                  <c:v>18.76393202250021</c:v>
                </c:pt>
                <c:pt idx="8">
                  <c:v>17.821443859939894</c:v>
                </c:pt>
                <c:pt idx="9">
                  <c:v>17.027420698090424</c:v>
                </c:pt>
                <c:pt idx="10">
                  <c:v>16.435973903246527</c:v>
                </c:pt>
                <c:pt idx="11">
                  <c:v>16.087409597064777</c:v>
                </c:pt>
                <c:pt idx="12">
                  <c:v>15.993300875748128</c:v>
                </c:pt>
                <c:pt idx="13">
                  <c:v>15.76192999621276</c:v>
                </c:pt>
                <c:pt idx="14">
                  <c:v>15.225124026949802</c:v>
                </c:pt>
                <c:pt idx="15">
                  <c:v>14.445798328535394</c:v>
                </c:pt>
                <c:pt idx="16">
                  <c:v>13.52501774084915</c:v>
                </c:pt>
                <c:pt idx="17">
                  <c:v>12.605728526005674</c:v>
                </c:pt>
                <c:pt idx="18">
                  <c:v>11.88262688892899</c:v>
                </c:pt>
                <c:pt idx="19">
                  <c:v>11.623689307742096</c:v>
                </c:pt>
                <c:pt idx="20">
                  <c:v>12.206806121927414</c:v>
                </c:pt>
                <c:pt idx="21">
                  <c:v>14.13897572298026</c:v>
                </c:pt>
                <c:pt idx="22">
                  <c:v>17.822769284556962</c:v>
                </c:pt>
                <c:pt idx="23">
                  <c:v>22.322489624152976</c:v>
                </c:pt>
                <c:pt idx="24">
                  <c:v>23.994518139018297</c:v>
                </c:pt>
              </c:numCache>
            </c:numRef>
          </c:xVal>
          <c:yVal>
            <c:numRef>
              <c:f>Расчет!$B$76:$Z$76</c:f>
              <c:numCache>
                <c:ptCount val="25"/>
                <c:pt idx="0">
                  <c:v>0.20934382497175857</c:v>
                </c:pt>
                <c:pt idx="1">
                  <c:v>1.2360679774997898</c:v>
                </c:pt>
                <c:pt idx="2">
                  <c:v>2.178556140060108</c:v>
                </c:pt>
                <c:pt idx="3">
                  <c:v>2.9725793019095748</c:v>
                </c:pt>
                <c:pt idx="4">
                  <c:v>3.5640260967534725</c:v>
                </c:pt>
                <c:pt idx="5">
                  <c:v>3.912590402935226</c:v>
                </c:pt>
                <c:pt idx="6">
                  <c:v>3.994518139018294</c:v>
                </c:pt>
                <c:pt idx="7">
                  <c:v>3.804226065180616</c:v>
                </c:pt>
                <c:pt idx="8">
                  <c:v>3.354682271781703</c:v>
                </c:pt>
                <c:pt idx="9">
                  <c:v>2.676522425435431</c:v>
                </c:pt>
                <c:pt idx="10">
                  <c:v>1.8159619989581852</c:v>
                </c:pt>
                <c:pt idx="11">
                  <c:v>0.8316467632710289</c:v>
                </c:pt>
                <c:pt idx="12">
                  <c:v>0.4885752483754845</c:v>
                </c:pt>
                <c:pt idx="13">
                  <c:v>2.907063323967646</c:v>
                </c:pt>
                <c:pt idx="14">
                  <c:v>5.223524506732214</c:v>
                </c:pt>
                <c:pt idx="15">
                  <c:v>7.3630934869387605</c:v>
                </c:pt>
                <c:pt idx="16">
                  <c:v>9.267744654893425</c:v>
                </c:pt>
                <c:pt idx="17">
                  <c:v>10.900813842380426</c:v>
                </c:pt>
                <c:pt idx="18">
                  <c:v>12.24538526305678</c:v>
                </c:pt>
                <c:pt idx="19">
                  <c:v>13.286628890013843</c:v>
                </c:pt>
                <c:pt idx="20">
                  <c:v>13.94948492289076</c:v>
                </c:pt>
                <c:pt idx="21">
                  <c:v>13.915993687785607</c:v>
                </c:pt>
                <c:pt idx="22">
                  <c:v>12.208596557526487</c:v>
                </c:pt>
                <c:pt idx="23">
                  <c:v>6.983441890391568</c:v>
                </c:pt>
                <c:pt idx="24">
                  <c:v>0.20934382497175663</c:v>
                </c:pt>
              </c:numCache>
            </c:numRef>
          </c:yVal>
          <c:smooth val="1"/>
        </c:ser>
        <c:axId val="7664529"/>
        <c:axId val="1871898"/>
      </c:scatterChart>
      <c:valAx>
        <c:axId val="766452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71898"/>
        <c:crosses val="autoZero"/>
        <c:crossBetween val="midCat"/>
        <c:dispUnits/>
      </c:valAx>
      <c:valAx>
        <c:axId val="187189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66452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Сводка кинетической энергии</a:t>
            </a:r>
          </a:p>
        </c:rich>
      </c:tx>
      <c:layout>
        <c:manualLayout>
          <c:xMode val="factor"/>
          <c:yMode val="factor"/>
          <c:x val="0.0397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05"/>
          <c:w val="0.8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Расчет!$A$100</c:f>
              <c:strCache>
                <c:ptCount val="1"/>
                <c:pt idx="0">
                  <c:v>Ekin_1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Расчет!$B$100:$Z$100</c:f>
              <c:numCache>
                <c:ptCount val="25"/>
                <c:pt idx="0">
                  <c:v>53.699999999999996</c:v>
                </c:pt>
                <c:pt idx="1">
                  <c:v>53.7</c:v>
                </c:pt>
                <c:pt idx="2">
                  <c:v>53.699999999999996</c:v>
                </c:pt>
                <c:pt idx="3">
                  <c:v>53.7</c:v>
                </c:pt>
                <c:pt idx="4">
                  <c:v>53.7</c:v>
                </c:pt>
                <c:pt idx="5">
                  <c:v>53.699999999999996</c:v>
                </c:pt>
                <c:pt idx="6">
                  <c:v>53.699999999999996</c:v>
                </c:pt>
                <c:pt idx="7">
                  <c:v>53.70000000000002</c:v>
                </c:pt>
                <c:pt idx="8">
                  <c:v>53.699999999999996</c:v>
                </c:pt>
                <c:pt idx="9">
                  <c:v>53.7</c:v>
                </c:pt>
                <c:pt idx="10">
                  <c:v>53.69999999999999</c:v>
                </c:pt>
                <c:pt idx="11">
                  <c:v>53.699999999999996</c:v>
                </c:pt>
                <c:pt idx="12">
                  <c:v>53.699999999999996</c:v>
                </c:pt>
                <c:pt idx="13">
                  <c:v>53.7</c:v>
                </c:pt>
                <c:pt idx="14">
                  <c:v>53.70000000000002</c:v>
                </c:pt>
                <c:pt idx="15">
                  <c:v>53.7</c:v>
                </c:pt>
                <c:pt idx="16">
                  <c:v>53.699999999999996</c:v>
                </c:pt>
                <c:pt idx="17">
                  <c:v>53.7</c:v>
                </c:pt>
                <c:pt idx="18">
                  <c:v>53.699999999999996</c:v>
                </c:pt>
                <c:pt idx="19">
                  <c:v>53.69999999999999</c:v>
                </c:pt>
                <c:pt idx="20">
                  <c:v>53.70000000000002</c:v>
                </c:pt>
                <c:pt idx="21">
                  <c:v>53.69999999999999</c:v>
                </c:pt>
                <c:pt idx="22">
                  <c:v>53.699999999999996</c:v>
                </c:pt>
                <c:pt idx="23">
                  <c:v>53.7</c:v>
                </c:pt>
                <c:pt idx="24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Расчет!$A$101</c:f>
              <c:strCache>
                <c:ptCount val="1"/>
                <c:pt idx="0">
                  <c:v>Ekin_2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Расчет!$B$101:$Z$101</c:f>
              <c:numCache>
                <c:ptCount val="25"/>
                <c:pt idx="0">
                  <c:v>31.99999999999897</c:v>
                </c:pt>
                <c:pt idx="1">
                  <c:v>32.00000000000003</c:v>
                </c:pt>
                <c:pt idx="2">
                  <c:v>32.00000000000001</c:v>
                </c:pt>
                <c:pt idx="3">
                  <c:v>32.000000000000014</c:v>
                </c:pt>
                <c:pt idx="4">
                  <c:v>32</c:v>
                </c:pt>
                <c:pt idx="5">
                  <c:v>31.999999999999996</c:v>
                </c:pt>
                <c:pt idx="6">
                  <c:v>32.00000000000001</c:v>
                </c:pt>
                <c:pt idx="7">
                  <c:v>32</c:v>
                </c:pt>
                <c:pt idx="8">
                  <c:v>32.00000000000002</c:v>
                </c:pt>
                <c:pt idx="9">
                  <c:v>31.999999999999993</c:v>
                </c:pt>
                <c:pt idx="10">
                  <c:v>31.999999999999993</c:v>
                </c:pt>
                <c:pt idx="11">
                  <c:v>31.999999999999996</c:v>
                </c:pt>
                <c:pt idx="12">
                  <c:v>82.09051595799905</c:v>
                </c:pt>
                <c:pt idx="13">
                  <c:v>72.73589226989378</c:v>
                </c:pt>
                <c:pt idx="14">
                  <c:v>61.813901218702675</c:v>
                </c:pt>
                <c:pt idx="15">
                  <c:v>49.49514442841578</c:v>
                </c:pt>
                <c:pt idx="16">
                  <c:v>36.18408366658194</c:v>
                </c:pt>
                <c:pt idx="17">
                  <c:v>22.977250579459582</c:v>
                </c:pt>
                <c:pt idx="18">
                  <c:v>12.76001820141302</c:v>
                </c:pt>
                <c:pt idx="19">
                  <c:v>12.893439548795136</c:v>
                </c:pt>
                <c:pt idx="20">
                  <c:v>41.51570660227393</c:v>
                </c:pt>
                <c:pt idx="21">
                  <c:v>138.84092268562318</c:v>
                </c:pt>
                <c:pt idx="22">
                  <c:v>361.4829175010533</c:v>
                </c:pt>
                <c:pt idx="23">
                  <c:v>636.8522230852393</c:v>
                </c:pt>
                <c:pt idx="24">
                  <c:v>31.9999999999989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Расчет!$A$102</c:f>
              <c:strCache>
                <c:ptCount val="1"/>
                <c:pt idx="0">
                  <c:v>Ekin_3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Расчет!$B$102:$Z$102</c:f>
              <c:numCache>
                <c:ptCount val="25"/>
                <c:pt idx="0">
                  <c:v>27.93999999999709</c:v>
                </c:pt>
                <c:pt idx="1">
                  <c:v>27.940000000000047</c:v>
                </c:pt>
                <c:pt idx="2">
                  <c:v>27.940000000000005</c:v>
                </c:pt>
                <c:pt idx="3">
                  <c:v>27.940000000000012</c:v>
                </c:pt>
                <c:pt idx="4">
                  <c:v>27.940000000000005</c:v>
                </c:pt>
                <c:pt idx="5">
                  <c:v>27.939999999999998</c:v>
                </c:pt>
                <c:pt idx="6">
                  <c:v>27.94</c:v>
                </c:pt>
                <c:pt idx="7">
                  <c:v>27.939999999999998</c:v>
                </c:pt>
                <c:pt idx="8">
                  <c:v>27.93999999999999</c:v>
                </c:pt>
                <c:pt idx="9">
                  <c:v>27.939999999999998</c:v>
                </c:pt>
                <c:pt idx="10">
                  <c:v>27.939999999999998</c:v>
                </c:pt>
                <c:pt idx="11">
                  <c:v>27.940000000000104</c:v>
                </c:pt>
                <c:pt idx="12">
                  <c:v>3.1082297097794482</c:v>
                </c:pt>
                <c:pt idx="13">
                  <c:v>3.2440425392916223</c:v>
                </c:pt>
                <c:pt idx="14">
                  <c:v>3.6025418492215047</c:v>
                </c:pt>
                <c:pt idx="15">
                  <c:v>4.26716921599483</c:v>
                </c:pt>
                <c:pt idx="16">
                  <c:v>5.412707894620605</c:v>
                </c:pt>
                <c:pt idx="17">
                  <c:v>7.394119948886825</c:v>
                </c:pt>
                <c:pt idx="18">
                  <c:v>10.95667818243875</c:v>
                </c:pt>
                <c:pt idx="19">
                  <c:v>17.749469139922113</c:v>
                </c:pt>
                <c:pt idx="20">
                  <c:v>31.588287690589397</c:v>
                </c:pt>
                <c:pt idx="21">
                  <c:v>61.17601157670918</c:v>
                </c:pt>
                <c:pt idx="22">
                  <c:v>121.94831856921286</c:v>
                </c:pt>
                <c:pt idx="23">
                  <c:v>212.65842252867748</c:v>
                </c:pt>
                <c:pt idx="24">
                  <c:v>27.93999999999714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Расчет!$A$103</c:f>
              <c:strCache>
                <c:ptCount val="1"/>
                <c:pt idx="0">
                  <c:v>Etot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66CC"/>
                </a:solidFill>
              </a:ln>
            </c:spPr>
          </c:marker>
          <c:val>
            <c:numRef>
              <c:f>Расчет!$B$103:$Z$103</c:f>
              <c:numCache>
                <c:ptCount val="25"/>
                <c:pt idx="0">
                  <c:v>113.63999999999606</c:v>
                </c:pt>
                <c:pt idx="1">
                  <c:v>113.64000000000007</c:v>
                </c:pt>
                <c:pt idx="2">
                  <c:v>113.64000000000001</c:v>
                </c:pt>
                <c:pt idx="3">
                  <c:v>113.64000000000003</c:v>
                </c:pt>
                <c:pt idx="4">
                  <c:v>113.64000000000001</c:v>
                </c:pt>
                <c:pt idx="5">
                  <c:v>113.63999999999999</c:v>
                </c:pt>
                <c:pt idx="6">
                  <c:v>113.64</c:v>
                </c:pt>
                <c:pt idx="7">
                  <c:v>113.64000000000001</c:v>
                </c:pt>
                <c:pt idx="8">
                  <c:v>113.64000000000001</c:v>
                </c:pt>
                <c:pt idx="9">
                  <c:v>113.63999999999999</c:v>
                </c:pt>
                <c:pt idx="10">
                  <c:v>113.63999999999999</c:v>
                </c:pt>
                <c:pt idx="11">
                  <c:v>113.6400000000001</c:v>
                </c:pt>
                <c:pt idx="12">
                  <c:v>138.89874566777848</c:v>
                </c:pt>
                <c:pt idx="13">
                  <c:v>129.6799348091854</c:v>
                </c:pt>
                <c:pt idx="14">
                  <c:v>119.11644306792421</c:v>
                </c:pt>
                <c:pt idx="15">
                  <c:v>107.4623136444106</c:v>
                </c:pt>
                <c:pt idx="16">
                  <c:v>95.29679156120255</c:v>
                </c:pt>
                <c:pt idx="17">
                  <c:v>84.0713705283464</c:v>
                </c:pt>
                <c:pt idx="18">
                  <c:v>77.41669638385177</c:v>
                </c:pt>
                <c:pt idx="19">
                  <c:v>84.34290868871723</c:v>
                </c:pt>
                <c:pt idx="20">
                  <c:v>126.80399429286334</c:v>
                </c:pt>
                <c:pt idx="21">
                  <c:v>253.71693426233236</c:v>
                </c:pt>
                <c:pt idx="22">
                  <c:v>537.1312360702661</c:v>
                </c:pt>
                <c:pt idx="23">
                  <c:v>903.2106456139168</c:v>
                </c:pt>
                <c:pt idx="24">
                  <c:v>113.63999999999605</c:v>
                </c:pt>
              </c:numCache>
            </c:numRef>
          </c:val>
          <c:smooth val="0"/>
        </c:ser>
        <c:marker val="1"/>
        <c:axId val="16847083"/>
        <c:axId val="17406020"/>
      </c:lineChart>
      <c:catAx>
        <c:axId val="16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406020"/>
        <c:crosses val="autoZero"/>
        <c:auto val="1"/>
        <c:lblOffset val="100"/>
        <c:noMultiLvlLbl val="0"/>
      </c:catAx>
      <c:valAx>
        <c:axId val="1740602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84708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Частица B через ось O1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Расчет!$B$82:$Z$82</c:f>
              <c:numCache>
                <c:ptCount val="25"/>
                <c:pt idx="0">
                  <c:v>11.994518139018295</c:v>
                </c:pt>
                <c:pt idx="1">
                  <c:v>11.804226065180618</c:v>
                </c:pt>
                <c:pt idx="2">
                  <c:v>11.354682271781705</c:v>
                </c:pt>
                <c:pt idx="3">
                  <c:v>10.676522425435447</c:v>
                </c:pt>
                <c:pt idx="4">
                  <c:v>9.815961998958203</c:v>
                </c:pt>
                <c:pt idx="5">
                  <c:v>8.831646763271054</c:v>
                </c:pt>
                <c:pt idx="6">
                  <c:v>7.790656175028244</c:v>
                </c:pt>
                <c:pt idx="7">
                  <c:v>6.763932022500228</c:v>
                </c:pt>
                <c:pt idx="8">
                  <c:v>5.821443859939909</c:v>
                </c:pt>
                <c:pt idx="9">
                  <c:v>5.0274206980904355</c:v>
                </c:pt>
                <c:pt idx="10">
                  <c:v>4.435973903246538</c:v>
                </c:pt>
                <c:pt idx="11">
                  <c:v>4.087409597064782</c:v>
                </c:pt>
                <c:pt idx="12">
                  <c:v>4.000609466888275</c:v>
                </c:pt>
                <c:pt idx="13">
                  <c:v>4.022236359376738</c:v>
                </c:pt>
                <c:pt idx="14">
                  <c:v>4.077240247710907</c:v>
                </c:pt>
                <c:pt idx="15">
                  <c:v>4.1724058761529035</c:v>
                </c:pt>
                <c:pt idx="16">
                  <c:v>4.3204298969647565</c:v>
                </c:pt>
                <c:pt idx="17">
                  <c:v>4.543303352439656</c:v>
                </c:pt>
                <c:pt idx="18">
                  <c:v>4.878657050554673</c:v>
                </c:pt>
                <c:pt idx="19">
                  <c:v>5.391116509596728</c:v>
                </c:pt>
                <c:pt idx="20">
                  <c:v>6.189856132807045</c:v>
                </c:pt>
                <c:pt idx="21">
                  <c:v>7.439137870337868</c:v>
                </c:pt>
                <c:pt idx="22">
                  <c:v>9.267523371874884</c:v>
                </c:pt>
                <c:pt idx="23">
                  <c:v>11.276550091422333</c:v>
                </c:pt>
                <c:pt idx="24">
                  <c:v>11.994518139018295</c:v>
                </c:pt>
              </c:numCache>
            </c:numRef>
          </c:xVal>
          <c:yVal>
            <c:numRef>
              <c:f>Расчет!$B$83:$Z$83</c:f>
              <c:numCache>
                <c:ptCount val="25"/>
                <c:pt idx="0">
                  <c:v>0.20934382497176862</c:v>
                </c:pt>
                <c:pt idx="1">
                  <c:v>1.2360679774997718</c:v>
                </c:pt>
                <c:pt idx="2">
                  <c:v>2.178556140060093</c:v>
                </c:pt>
                <c:pt idx="3">
                  <c:v>2.9725793019095637</c:v>
                </c:pt>
                <c:pt idx="4">
                  <c:v>3.5640260967534627</c:v>
                </c:pt>
                <c:pt idx="5">
                  <c:v>3.9125904029352174</c:v>
                </c:pt>
                <c:pt idx="6">
                  <c:v>3.9945181390182953</c:v>
                </c:pt>
                <c:pt idx="7">
                  <c:v>3.8042260651806186</c:v>
                </c:pt>
                <c:pt idx="8">
                  <c:v>3.354682271781706</c:v>
                </c:pt>
                <c:pt idx="9">
                  <c:v>2.6765224254354454</c:v>
                </c:pt>
                <c:pt idx="10">
                  <c:v>1.8159619989582036</c:v>
                </c:pt>
                <c:pt idx="11">
                  <c:v>0.8316467632710535</c:v>
                </c:pt>
                <c:pt idx="12">
                  <c:v>0.06982380436716351</c:v>
                </c:pt>
                <c:pt idx="13">
                  <c:v>0.4211845430871961</c:v>
                </c:pt>
                <c:pt idx="14">
                  <c:v>0.7822761186568342</c:v>
                </c:pt>
                <c:pt idx="15">
                  <c:v>1.1616898136297695</c:v>
                </c:pt>
                <c:pt idx="16">
                  <c:v>1.5686822039053019</c:v>
                </c:pt>
                <c:pt idx="17">
                  <c:v>2.0127712951910537</c:v>
                </c:pt>
                <c:pt idx="18">
                  <c:v>2.5014432218117486</c:v>
                </c:pt>
                <c:pt idx="19">
                  <c:v>3.032115916897181</c:v>
                </c:pt>
                <c:pt idx="20">
                  <c:v>3.566984606087293</c:v>
                </c:pt>
                <c:pt idx="21">
                  <c:v>3.9604840198529843</c:v>
                </c:pt>
                <c:pt idx="22">
                  <c:v>3.7938614236356756</c:v>
                </c:pt>
                <c:pt idx="23">
                  <c:v>2.2943886981939854</c:v>
                </c:pt>
                <c:pt idx="24">
                  <c:v>0.20934382497176862</c:v>
                </c:pt>
              </c:numCache>
            </c:numRef>
          </c:yVal>
          <c:smooth val="1"/>
        </c:ser>
        <c:axId val="22436453"/>
        <c:axId val="601486"/>
      </c:scatterChart>
      <c:valAx>
        <c:axId val="2243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486"/>
        <c:crosses val="autoZero"/>
        <c:crossBetween val="midCat"/>
        <c:dispUnits/>
      </c:valAx>
      <c:valAx>
        <c:axId val="601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36453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Траектория движения центра масс
 3-го звена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785"/>
          <c:w val="0.938"/>
          <c:h val="0.821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Расчет!$B$89:$Z$89</c:f>
              <c:numCache>
                <c:ptCount val="25"/>
                <c:pt idx="0">
                  <c:v>3</c:v>
                </c:pt>
                <c:pt idx="1">
                  <c:v>2.8597880144316328</c:v>
                </c:pt>
                <c:pt idx="2">
                  <c:v>3.069872981077803</c:v>
                </c:pt>
                <c:pt idx="3">
                  <c:v>3.615937956643397</c:v>
                </c:pt>
                <c:pt idx="4">
                  <c:v>4.460769515458663</c:v>
                </c:pt>
                <c:pt idx="5">
                  <c:v>5.546793782940502</c:v>
                </c:pt>
                <c:pt idx="6">
                  <c:v>6.799999999999985</c:v>
                </c:pt>
                <c:pt idx="7">
                  <c:v>8.134984233965708</c:v>
                </c:pt>
                <c:pt idx="8">
                  <c:v>9.460769515458658</c:v>
                </c:pt>
                <c:pt idx="9">
                  <c:v>10.687005768508868</c:v>
                </c:pt>
                <c:pt idx="10">
                  <c:v>11.730127018922182</c:v>
                </c:pt>
                <c:pt idx="11">
                  <c:v>12.519046277322309</c:v>
                </c:pt>
                <c:pt idx="12">
                  <c:v>12.904107002403615</c:v>
                </c:pt>
                <c:pt idx="13">
                  <c:v>12.749200231032743</c:v>
                </c:pt>
                <c:pt idx="14">
                  <c:v>12.54960159633175</c:v>
                </c:pt>
                <c:pt idx="15">
                  <c:v>12.293812422832271</c:v>
                </c:pt>
                <c:pt idx="16">
                  <c:v>11.962804261324614</c:v>
                </c:pt>
                <c:pt idx="17">
                  <c:v>11.525997102163137</c:v>
                </c:pt>
                <c:pt idx="18">
                  <c:v>10.934275228366118</c:v>
                </c:pt>
                <c:pt idx="19">
                  <c:v>10.108924599492166</c:v>
                </c:pt>
                <c:pt idx="20">
                  <c:v>8.929177435723735</c:v>
                </c:pt>
                <c:pt idx="21">
                  <c:v>7.245699340545062</c:v>
                </c:pt>
                <c:pt idx="22">
                  <c:v>5.052875443039184</c:v>
                </c:pt>
                <c:pt idx="23">
                  <c:v>3.1238977193090074</c:v>
                </c:pt>
                <c:pt idx="24">
                  <c:v>3</c:v>
                </c:pt>
              </c:numCache>
            </c:numRef>
          </c:xVal>
          <c:yVal>
            <c:numRef>
              <c:f>Расчет!$B$90:$Z$90</c:f>
              <c:numCache>
                <c:ptCount val="25"/>
                <c:pt idx="0">
                  <c:v>1.2</c:v>
                </c:pt>
                <c:pt idx="1">
                  <c:v>-0.13498423396570658</c:v>
                </c:pt>
                <c:pt idx="2">
                  <c:v>-1.4607695154586595</c:v>
                </c:pt>
                <c:pt idx="3">
                  <c:v>-2.6870057685088677</c:v>
                </c:pt>
                <c:pt idx="4">
                  <c:v>-3.730127018922184</c:v>
                </c:pt>
                <c:pt idx="5">
                  <c:v>-4.5190462773223095</c:v>
                </c:pt>
                <c:pt idx="6">
                  <c:v>-4.9999999999999964</c:v>
                </c:pt>
                <c:pt idx="7">
                  <c:v>-5.140211985568366</c:v>
                </c:pt>
                <c:pt idx="8">
                  <c:v>-4.930127018922198</c:v>
                </c:pt>
                <c:pt idx="9">
                  <c:v>-4.384062043356602</c:v>
                </c:pt>
                <c:pt idx="10">
                  <c:v>-3.5392304845413376</c:v>
                </c:pt>
                <c:pt idx="11">
                  <c:v>-2.4532062170594973</c:v>
                </c:pt>
                <c:pt idx="12">
                  <c:v>-1.5458766150556245</c:v>
                </c:pt>
                <c:pt idx="13">
                  <c:v>-1.9710649825813786</c:v>
                </c:pt>
                <c:pt idx="14">
                  <c:v>-2.3960645472640323</c:v>
                </c:pt>
                <c:pt idx="15">
                  <c:v>-2.828988313431367</c:v>
                </c:pt>
                <c:pt idx="16">
                  <c:v>-3.276611418283755</c:v>
                </c:pt>
                <c:pt idx="17">
                  <c:v>-3.7426386995724226</c:v>
                </c:pt>
                <c:pt idx="18">
                  <c:v>-4.222561886366729</c:v>
                </c:pt>
                <c:pt idx="19">
                  <c:v>-4.6896094756020785</c:v>
                </c:pt>
                <c:pt idx="20">
                  <c:v>-5.057334208151747</c:v>
                </c:pt>
                <c:pt idx="21">
                  <c:v>-5.086357293303907</c:v>
                </c:pt>
                <c:pt idx="22">
                  <c:v>-4.213603783670044</c:v>
                </c:pt>
                <c:pt idx="23">
                  <c:v>-1.632062054040869</c:v>
                </c:pt>
                <c:pt idx="24">
                  <c:v>1.2</c:v>
                </c:pt>
              </c:numCache>
            </c:numRef>
          </c:yVal>
          <c:smooth val="1"/>
        </c:ser>
        <c:axId val="5413375"/>
        <c:axId val="48720376"/>
      </c:scatterChart>
      <c:valAx>
        <c:axId val="541337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720376"/>
        <c:crosses val="autoZero"/>
        <c:crossBetween val="midCat"/>
        <c:dispUnits/>
      </c:valAx>
      <c:valAx>
        <c:axId val="4872037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13375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Полные усилия и момент в шарнире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075"/>
          <c:w val="0.802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Расчет!$A$126</c:f>
              <c:strCache>
                <c:ptCount val="1"/>
                <c:pt idx="0">
                  <c:v>Px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Расчет!$B$126:$Z$126</c:f>
              <c:numCache>
                <c:ptCount val="25"/>
                <c:pt idx="0">
                  <c:v>298.1275458785859</c:v>
                </c:pt>
                <c:pt idx="1">
                  <c:v>61.53519792046387</c:v>
                </c:pt>
                <c:pt idx="2">
                  <c:v>36.57570067026867</c:v>
                </c:pt>
                <c:pt idx="3">
                  <c:v>23.951357771579374</c:v>
                </c:pt>
                <c:pt idx="4">
                  <c:v>14.852531034334419</c:v>
                </c:pt>
                <c:pt idx="5">
                  <c:v>7.583197206917621</c:v>
                </c:pt>
                <c:pt idx="6">
                  <c:v>1.9274648058311301</c:v>
                </c:pt>
                <c:pt idx="7">
                  <c:v>-1.507912027330873</c:v>
                </c:pt>
                <c:pt idx="8">
                  <c:v>-2.512337540495021</c:v>
                </c:pt>
                <c:pt idx="9">
                  <c:v>0.20935664362879303</c:v>
                </c:pt>
                <c:pt idx="10">
                  <c:v>10.3638963185551</c:v>
                </c:pt>
                <c:pt idx="11">
                  <c:v>49.852187877222036</c:v>
                </c:pt>
                <c:pt idx="12">
                  <c:v>333.4830845404247</c:v>
                </c:pt>
                <c:pt idx="13">
                  <c:v>59.83822935138593</c:v>
                </c:pt>
                <c:pt idx="14">
                  <c:v>35.815547671489306</c:v>
                </c:pt>
                <c:pt idx="15">
                  <c:v>27.165206306157415</c:v>
                </c:pt>
                <c:pt idx="16">
                  <c:v>22.463224114233586</c:v>
                </c:pt>
                <c:pt idx="17">
                  <c:v>18.644154643759702</c:v>
                </c:pt>
                <c:pt idx="18">
                  <c:v>13.876309570820652</c:v>
                </c:pt>
                <c:pt idx="19">
                  <c:v>6.007062799893332</c:v>
                </c:pt>
                <c:pt idx="20">
                  <c:v>-8.47458826276041</c:v>
                </c:pt>
                <c:pt idx="21">
                  <c:v>-35.71521285305164</c:v>
                </c:pt>
                <c:pt idx="22">
                  <c:v>-86.26107637827744</c:v>
                </c:pt>
                <c:pt idx="23">
                  <c:v>-175.31166164040746</c:v>
                </c:pt>
                <c:pt idx="24">
                  <c:v>298.12754587857836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Расчет!$A$127</c:f>
              <c:strCache>
                <c:ptCount val="1"/>
                <c:pt idx="0">
                  <c:v>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Расчет!$B$127:$Z$127</c:f>
              <c:numCache>
                <c:ptCount val="25"/>
                <c:pt idx="0">
                  <c:v>12.700124829750697</c:v>
                </c:pt>
                <c:pt idx="1">
                  <c:v>16.923654050033097</c:v>
                </c:pt>
                <c:pt idx="2">
                  <c:v>20.003002609867572</c:v>
                </c:pt>
                <c:pt idx="3">
                  <c:v>21.72091070090061</c:v>
                </c:pt>
                <c:pt idx="4">
                  <c:v>21.961918837762337</c:v>
                </c:pt>
                <c:pt idx="5">
                  <c:v>20.708622681661666</c:v>
                </c:pt>
                <c:pt idx="6">
                  <c:v>18.04529122853643</c:v>
                </c:pt>
                <c:pt idx="7">
                  <c:v>14.090422483852576</c:v>
                </c:pt>
                <c:pt idx="8">
                  <c:v>9.230138999602387</c:v>
                </c:pt>
                <c:pt idx="9">
                  <c:v>3.740836796055196</c:v>
                </c:pt>
                <c:pt idx="10">
                  <c:v>-2.0033972531180426</c:v>
                </c:pt>
                <c:pt idx="11">
                  <c:v>-7.611103090261734</c:v>
                </c:pt>
                <c:pt idx="12">
                  <c:v>-5.58357118596032</c:v>
                </c:pt>
                <c:pt idx="13">
                  <c:v>-6.14119879623045</c:v>
                </c:pt>
                <c:pt idx="14">
                  <c:v>-6.379443374206423</c:v>
                </c:pt>
                <c:pt idx="15">
                  <c:v>-6.347725006793503</c:v>
                </c:pt>
                <c:pt idx="16">
                  <c:v>-6.093857977484178</c:v>
                </c:pt>
                <c:pt idx="17">
                  <c:v>-5.708571494447625</c:v>
                </c:pt>
                <c:pt idx="18">
                  <c:v>-5.442405141526434</c:v>
                </c:pt>
                <c:pt idx="19">
                  <c:v>-6.0514830358099765</c:v>
                </c:pt>
                <c:pt idx="20">
                  <c:v>-9.845392074120596</c:v>
                </c:pt>
                <c:pt idx="21">
                  <c:v>-23.446143606230017</c:v>
                </c:pt>
                <c:pt idx="22">
                  <c:v>-59.4787015863033</c:v>
                </c:pt>
                <c:pt idx="23">
                  <c:v>-99.44413536461148</c:v>
                </c:pt>
                <c:pt idx="24">
                  <c:v>12.700124829750617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Расчет!$A$128</c:f>
              <c:strCache>
                <c:ptCount val="1"/>
                <c:pt idx="0">
                  <c:v>Mв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Расчет!$B$128:$Z$128</c:f>
              <c:numCache>
                <c:ptCount val="25"/>
                <c:pt idx="0">
                  <c:v>11.680281783550056</c:v>
                </c:pt>
                <c:pt idx="1">
                  <c:v>11.680281783361385</c:v>
                </c:pt>
                <c:pt idx="2">
                  <c:v>11.680281783361774</c:v>
                </c:pt>
                <c:pt idx="3">
                  <c:v>11.680281783361778</c:v>
                </c:pt>
                <c:pt idx="4">
                  <c:v>11.680281783361771</c:v>
                </c:pt>
                <c:pt idx="5">
                  <c:v>11.680281783361782</c:v>
                </c:pt>
                <c:pt idx="6">
                  <c:v>11.680281783361757</c:v>
                </c:pt>
                <c:pt idx="7">
                  <c:v>11.680281783361766</c:v>
                </c:pt>
                <c:pt idx="8">
                  <c:v>11.680281783361764</c:v>
                </c:pt>
                <c:pt idx="9">
                  <c:v>11.680281783361764</c:v>
                </c:pt>
                <c:pt idx="10">
                  <c:v>11.680281783361785</c:v>
                </c:pt>
                <c:pt idx="11">
                  <c:v>11.680281783363817</c:v>
                </c:pt>
                <c:pt idx="12">
                  <c:v>0.5594077377983815</c:v>
                </c:pt>
                <c:pt idx="13">
                  <c:v>-3.2039684788498515</c:v>
                </c:pt>
                <c:pt idx="14">
                  <c:v>-7.419342123343892</c:v>
                </c:pt>
                <c:pt idx="15">
                  <c:v>-12.641328784123294</c:v>
                </c:pt>
                <c:pt idx="16">
                  <c:v>-19.675596495842758</c:v>
                </c:pt>
                <c:pt idx="17">
                  <c:v>-29.809193955238253</c:v>
                </c:pt>
                <c:pt idx="18">
                  <c:v>-45.19239343668632</c:v>
                </c:pt>
                <c:pt idx="19">
                  <c:v>-69.36914114756883</c:v>
                </c:pt>
                <c:pt idx="20">
                  <c:v>-107.30547923737684</c:v>
                </c:pt>
                <c:pt idx="21">
                  <c:v>-160.63457959418324</c:v>
                </c:pt>
                <c:pt idx="22">
                  <c:v>-200.86360055798008</c:v>
                </c:pt>
                <c:pt idx="23">
                  <c:v>-112.22543703586007</c:v>
                </c:pt>
                <c:pt idx="24">
                  <c:v>11.68028178354682</c:v>
                </c:pt>
              </c:numCache>
            </c:numRef>
          </c:val>
          <c:smooth val="0"/>
        </c:ser>
        <c:marker val="1"/>
        <c:axId val="35830201"/>
        <c:axId val="54036354"/>
      </c:lineChart>
      <c:catAx>
        <c:axId val="358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036354"/>
        <c:crosses val="autoZero"/>
        <c:auto val="1"/>
        <c:lblOffset val="100"/>
        <c:noMultiLvlLbl val="0"/>
      </c:catAx>
      <c:valAx>
        <c:axId val="5403635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8302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25"/>
          <c:y val="0.45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3</xdr:col>
      <xdr:colOff>514350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42875" y="66675"/>
        <a:ext cx="24288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0</xdr:rowOff>
    </xdr:from>
    <xdr:to>
      <xdr:col>4</xdr:col>
      <xdr:colOff>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114300" y="2752725"/>
        <a:ext cx="2628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2</xdr:row>
      <xdr:rowOff>123825</xdr:rowOff>
    </xdr:from>
    <xdr:to>
      <xdr:col>9</xdr:col>
      <xdr:colOff>142875</xdr:colOff>
      <xdr:row>13</xdr:row>
      <xdr:rowOff>9525</xdr:rowOff>
    </xdr:to>
    <xdr:graphicFrame>
      <xdr:nvGraphicFramePr>
        <xdr:cNvPr id="3" name="Chart 5"/>
        <xdr:cNvGraphicFramePr/>
      </xdr:nvGraphicFramePr>
      <xdr:xfrm>
        <a:off x="2828925" y="447675"/>
        <a:ext cx="3486150" cy="1666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85725</xdr:colOff>
      <xdr:row>17</xdr:row>
      <xdr:rowOff>0</xdr:rowOff>
    </xdr:from>
    <xdr:to>
      <xdr:col>9</xdr:col>
      <xdr:colOff>104775</xdr:colOff>
      <xdr:row>34</xdr:row>
      <xdr:rowOff>0</xdr:rowOff>
    </xdr:to>
    <xdr:graphicFrame>
      <xdr:nvGraphicFramePr>
        <xdr:cNvPr id="4" name="Chart 7"/>
        <xdr:cNvGraphicFramePr/>
      </xdr:nvGraphicFramePr>
      <xdr:xfrm>
        <a:off x="2828925" y="2752725"/>
        <a:ext cx="34480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37</xdr:row>
      <xdr:rowOff>104775</xdr:rowOff>
    </xdr:from>
    <xdr:to>
      <xdr:col>8</xdr:col>
      <xdr:colOff>0</xdr:colOff>
      <xdr:row>54</xdr:row>
      <xdr:rowOff>142875</xdr:rowOff>
    </xdr:to>
    <xdr:graphicFrame>
      <xdr:nvGraphicFramePr>
        <xdr:cNvPr id="5" name="Chart 8"/>
        <xdr:cNvGraphicFramePr/>
      </xdr:nvGraphicFramePr>
      <xdr:xfrm>
        <a:off x="142875" y="6096000"/>
        <a:ext cx="5343525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55</xdr:row>
      <xdr:rowOff>57150</xdr:rowOff>
    </xdr:from>
    <xdr:to>
      <xdr:col>8</xdr:col>
      <xdr:colOff>19050</xdr:colOff>
      <xdr:row>73</xdr:row>
      <xdr:rowOff>19050</xdr:rowOff>
    </xdr:to>
    <xdr:graphicFrame>
      <xdr:nvGraphicFramePr>
        <xdr:cNvPr id="6" name="Chart 14"/>
        <xdr:cNvGraphicFramePr/>
      </xdr:nvGraphicFramePr>
      <xdr:xfrm>
        <a:off x="171450" y="8963025"/>
        <a:ext cx="533400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352425</xdr:colOff>
      <xdr:row>2</xdr:row>
      <xdr:rowOff>114300</xdr:rowOff>
    </xdr:from>
    <xdr:to>
      <xdr:col>14</xdr:col>
      <xdr:colOff>523875</xdr:colOff>
      <xdr:row>13</xdr:row>
      <xdr:rowOff>19050</xdr:rowOff>
    </xdr:to>
    <xdr:graphicFrame>
      <xdr:nvGraphicFramePr>
        <xdr:cNvPr id="7" name="Chart 15"/>
        <xdr:cNvGraphicFramePr/>
      </xdr:nvGraphicFramePr>
      <xdr:xfrm>
        <a:off x="6524625" y="438150"/>
        <a:ext cx="3600450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352425</xdr:colOff>
      <xdr:row>19</xdr:row>
      <xdr:rowOff>9525</xdr:rowOff>
    </xdr:from>
    <xdr:to>
      <xdr:col>14</xdr:col>
      <xdr:colOff>514350</xdr:colOff>
      <xdr:row>32</xdr:row>
      <xdr:rowOff>0</xdr:rowOff>
    </xdr:to>
    <xdr:graphicFrame>
      <xdr:nvGraphicFramePr>
        <xdr:cNvPr id="8" name="Chart 16"/>
        <xdr:cNvGraphicFramePr/>
      </xdr:nvGraphicFramePr>
      <xdr:xfrm>
        <a:off x="6524625" y="3086100"/>
        <a:ext cx="359092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142875</xdr:colOff>
      <xdr:row>37</xdr:row>
      <xdr:rowOff>104775</xdr:rowOff>
    </xdr:from>
    <xdr:to>
      <xdr:col>14</xdr:col>
      <xdr:colOff>485775</xdr:colOff>
      <xdr:row>54</xdr:row>
      <xdr:rowOff>142875</xdr:rowOff>
    </xdr:to>
    <xdr:graphicFrame>
      <xdr:nvGraphicFramePr>
        <xdr:cNvPr id="9" name="Chart 17"/>
        <xdr:cNvGraphicFramePr/>
      </xdr:nvGraphicFramePr>
      <xdr:xfrm>
        <a:off x="5629275" y="6096000"/>
        <a:ext cx="445770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142875</xdr:colOff>
      <xdr:row>55</xdr:row>
      <xdr:rowOff>57150</xdr:rowOff>
    </xdr:from>
    <xdr:to>
      <xdr:col>14</xdr:col>
      <xdr:colOff>495300</xdr:colOff>
      <xdr:row>73</xdr:row>
      <xdr:rowOff>19050</xdr:rowOff>
    </xdr:to>
    <xdr:graphicFrame>
      <xdr:nvGraphicFramePr>
        <xdr:cNvPr id="10" name="Chart 18"/>
        <xdr:cNvGraphicFramePr/>
      </xdr:nvGraphicFramePr>
      <xdr:xfrm>
        <a:off x="5629275" y="8963025"/>
        <a:ext cx="4467225" cy="2876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171450</xdr:colOff>
      <xdr:row>74</xdr:row>
      <xdr:rowOff>123825</xdr:rowOff>
    </xdr:from>
    <xdr:to>
      <xdr:col>7</xdr:col>
      <xdr:colOff>676275</xdr:colOff>
      <xdr:row>93</xdr:row>
      <xdr:rowOff>0</xdr:rowOff>
    </xdr:to>
    <xdr:graphicFrame>
      <xdr:nvGraphicFramePr>
        <xdr:cNvPr id="11" name="Chart 19"/>
        <xdr:cNvGraphicFramePr/>
      </xdr:nvGraphicFramePr>
      <xdr:xfrm>
        <a:off x="171450" y="12106275"/>
        <a:ext cx="5305425" cy="2952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152400</xdr:colOff>
      <xdr:row>74</xdr:row>
      <xdr:rowOff>142875</xdr:rowOff>
    </xdr:from>
    <xdr:to>
      <xdr:col>14</xdr:col>
      <xdr:colOff>495300</xdr:colOff>
      <xdr:row>93</xdr:row>
      <xdr:rowOff>0</xdr:rowOff>
    </xdr:to>
    <xdr:graphicFrame>
      <xdr:nvGraphicFramePr>
        <xdr:cNvPr id="12" name="Chart 20"/>
        <xdr:cNvGraphicFramePr/>
      </xdr:nvGraphicFramePr>
      <xdr:xfrm>
        <a:off x="5638800" y="12125325"/>
        <a:ext cx="4457700" cy="2933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266700</xdr:colOff>
      <xdr:row>93</xdr:row>
      <xdr:rowOff>142875</xdr:rowOff>
    </xdr:from>
    <xdr:to>
      <xdr:col>7</xdr:col>
      <xdr:colOff>676275</xdr:colOff>
      <xdr:row>110</xdr:row>
      <xdr:rowOff>0</xdr:rowOff>
    </xdr:to>
    <xdr:graphicFrame>
      <xdr:nvGraphicFramePr>
        <xdr:cNvPr id="13" name="Chart 21"/>
        <xdr:cNvGraphicFramePr/>
      </xdr:nvGraphicFramePr>
      <xdr:xfrm>
        <a:off x="952500" y="15201900"/>
        <a:ext cx="4524375" cy="2609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142875</xdr:colOff>
      <xdr:row>93</xdr:row>
      <xdr:rowOff>152400</xdr:rowOff>
    </xdr:from>
    <xdr:to>
      <xdr:col>14</xdr:col>
      <xdr:colOff>495300</xdr:colOff>
      <xdr:row>110</xdr:row>
      <xdr:rowOff>0</xdr:rowOff>
    </xdr:to>
    <xdr:graphicFrame>
      <xdr:nvGraphicFramePr>
        <xdr:cNvPr id="14" name="Chart 22"/>
        <xdr:cNvGraphicFramePr/>
      </xdr:nvGraphicFramePr>
      <xdr:xfrm>
        <a:off x="5629275" y="15211425"/>
        <a:ext cx="4467225" cy="2600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133350</xdr:colOff>
      <xdr:row>112</xdr:row>
      <xdr:rowOff>0</xdr:rowOff>
    </xdr:from>
    <xdr:to>
      <xdr:col>7</xdr:col>
      <xdr:colOff>447675</xdr:colOff>
      <xdr:row>127</xdr:row>
      <xdr:rowOff>123825</xdr:rowOff>
    </xdr:to>
    <xdr:graphicFrame>
      <xdr:nvGraphicFramePr>
        <xdr:cNvPr id="15" name="Chart 23"/>
        <xdr:cNvGraphicFramePr/>
      </xdr:nvGraphicFramePr>
      <xdr:xfrm>
        <a:off x="133350" y="18135600"/>
        <a:ext cx="5114925" cy="2552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561975</xdr:colOff>
      <xdr:row>112</xdr:row>
      <xdr:rowOff>0</xdr:rowOff>
    </xdr:from>
    <xdr:to>
      <xdr:col>14</xdr:col>
      <xdr:colOff>485775</xdr:colOff>
      <xdr:row>127</xdr:row>
      <xdr:rowOff>114300</xdr:rowOff>
    </xdr:to>
    <xdr:graphicFrame>
      <xdr:nvGraphicFramePr>
        <xdr:cNvPr id="16" name="Chart 24"/>
        <xdr:cNvGraphicFramePr/>
      </xdr:nvGraphicFramePr>
      <xdr:xfrm>
        <a:off x="5362575" y="18135600"/>
        <a:ext cx="4724400" cy="2543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114300</xdr:colOff>
      <xdr:row>131</xdr:row>
      <xdr:rowOff>0</xdr:rowOff>
    </xdr:from>
    <xdr:to>
      <xdr:col>5</xdr:col>
      <xdr:colOff>228600</xdr:colOff>
      <xdr:row>145</xdr:row>
      <xdr:rowOff>9525</xdr:rowOff>
    </xdr:to>
    <xdr:graphicFrame>
      <xdr:nvGraphicFramePr>
        <xdr:cNvPr id="17" name="Chart 25"/>
        <xdr:cNvGraphicFramePr/>
      </xdr:nvGraphicFramePr>
      <xdr:xfrm>
        <a:off x="114300" y="21212175"/>
        <a:ext cx="35433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676275</xdr:colOff>
      <xdr:row>131</xdr:row>
      <xdr:rowOff>0</xdr:rowOff>
    </xdr:from>
    <xdr:to>
      <xdr:col>14</xdr:col>
      <xdr:colOff>561975</xdr:colOff>
      <xdr:row>145</xdr:row>
      <xdr:rowOff>9525</xdr:rowOff>
    </xdr:to>
    <xdr:graphicFrame>
      <xdr:nvGraphicFramePr>
        <xdr:cNvPr id="18" name="Chart 26"/>
        <xdr:cNvGraphicFramePr/>
      </xdr:nvGraphicFramePr>
      <xdr:xfrm>
        <a:off x="6848475" y="21212175"/>
        <a:ext cx="3314700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266700</xdr:colOff>
      <xdr:row>131</xdr:row>
      <xdr:rowOff>0</xdr:rowOff>
    </xdr:from>
    <xdr:to>
      <xdr:col>9</xdr:col>
      <xdr:colOff>647700</xdr:colOff>
      <xdr:row>145</xdr:row>
      <xdr:rowOff>9525</xdr:rowOff>
    </xdr:to>
    <xdr:graphicFrame>
      <xdr:nvGraphicFramePr>
        <xdr:cNvPr id="19" name="Chart 27"/>
        <xdr:cNvGraphicFramePr/>
      </xdr:nvGraphicFramePr>
      <xdr:xfrm>
        <a:off x="3695700" y="21212175"/>
        <a:ext cx="3124200" cy="2276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13</xdr:row>
      <xdr:rowOff>9525</xdr:rowOff>
    </xdr:from>
    <xdr:to>
      <xdr:col>7</xdr:col>
      <xdr:colOff>666750</xdr:colOff>
      <xdr:row>13</xdr:row>
      <xdr:rowOff>104775</xdr:rowOff>
    </xdr:to>
    <xdr:sp>
      <xdr:nvSpPr>
        <xdr:cNvPr id="1" name="Rectangle 141"/>
        <xdr:cNvSpPr>
          <a:spLocks/>
        </xdr:cNvSpPr>
      </xdr:nvSpPr>
      <xdr:spPr>
        <a:xfrm>
          <a:off x="5057775" y="2219325"/>
          <a:ext cx="390525" cy="95250"/>
        </a:xfrm>
        <a:prstGeom prst="rect">
          <a:avLst/>
        </a:prstGeom>
        <a:pattFill prst="wdUpDiag">
          <a:fgClr>
            <a:srgbClr val="000000"/>
          </a:fgClr>
          <a:bgClr>
            <a:srgbClr val="33CCCC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295275</xdr:colOff>
      <xdr:row>11</xdr:row>
      <xdr:rowOff>76200</xdr:rowOff>
    </xdr:from>
    <xdr:ext cx="200025" cy="200025"/>
    <xdr:sp>
      <xdr:nvSpPr>
        <xdr:cNvPr id="2" name="TextBox 46"/>
        <xdr:cNvSpPr txBox="1">
          <a:spLocks noChangeArrowheads="1"/>
        </xdr:cNvSpPr>
      </xdr:nvSpPr>
      <xdr:spPr>
        <a:xfrm>
          <a:off x="5076825" y="19431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O</a:t>
          </a:r>
        </a:p>
      </xdr:txBody>
    </xdr:sp>
    <xdr:clientData/>
  </xdr:oneCellAnchor>
  <xdr:oneCellAnchor>
    <xdr:from>
      <xdr:col>8</xdr:col>
      <xdr:colOff>28575</xdr:colOff>
      <xdr:row>7</xdr:row>
      <xdr:rowOff>0</xdr:rowOff>
    </xdr:from>
    <xdr:ext cx="190500" cy="200025"/>
    <xdr:sp>
      <xdr:nvSpPr>
        <xdr:cNvPr id="3" name="TextBox 47"/>
        <xdr:cNvSpPr txBox="1">
          <a:spLocks noChangeArrowheads="1"/>
        </xdr:cNvSpPr>
      </xdr:nvSpPr>
      <xdr:spPr>
        <a:xfrm>
          <a:off x="5543550" y="1219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oneCellAnchor>
  <xdr:oneCellAnchor>
    <xdr:from>
      <xdr:col>10</xdr:col>
      <xdr:colOff>581025</xdr:colOff>
      <xdr:row>3</xdr:row>
      <xdr:rowOff>0</xdr:rowOff>
    </xdr:from>
    <xdr:ext cx="200025" cy="200025"/>
    <xdr:sp>
      <xdr:nvSpPr>
        <xdr:cNvPr id="4" name="TextBox 48"/>
        <xdr:cNvSpPr txBox="1">
          <a:spLocks noChangeArrowheads="1"/>
        </xdr:cNvSpPr>
      </xdr:nvSpPr>
      <xdr:spPr>
        <a:xfrm>
          <a:off x="7562850" y="5619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oneCellAnchor>
  <xdr:twoCellAnchor>
    <xdr:from>
      <xdr:col>8</xdr:col>
      <xdr:colOff>171450</xdr:colOff>
      <xdr:row>5</xdr:row>
      <xdr:rowOff>38100</xdr:rowOff>
    </xdr:from>
    <xdr:to>
      <xdr:col>8</xdr:col>
      <xdr:colOff>504825</xdr:colOff>
      <xdr:row>7</xdr:row>
      <xdr:rowOff>28575</xdr:rowOff>
    </xdr:to>
    <xdr:sp>
      <xdr:nvSpPr>
        <xdr:cNvPr id="5" name="Line 52"/>
        <xdr:cNvSpPr>
          <a:spLocks/>
        </xdr:cNvSpPr>
      </xdr:nvSpPr>
      <xdr:spPr>
        <a:xfrm flipH="1" flipV="1">
          <a:off x="5686425" y="923925"/>
          <a:ext cx="323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609600</xdr:colOff>
      <xdr:row>5</xdr:row>
      <xdr:rowOff>38100</xdr:rowOff>
    </xdr:from>
    <xdr:to>
      <xdr:col>8</xdr:col>
      <xdr:colOff>171450</xdr:colOff>
      <xdr:row>5</xdr:row>
      <xdr:rowOff>38100</xdr:rowOff>
    </xdr:to>
    <xdr:sp>
      <xdr:nvSpPr>
        <xdr:cNvPr id="6" name="Line 53"/>
        <xdr:cNvSpPr>
          <a:spLocks/>
        </xdr:cNvSpPr>
      </xdr:nvSpPr>
      <xdr:spPr>
        <a:xfrm flipH="1">
          <a:off x="5391150" y="923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704850</xdr:colOff>
      <xdr:row>4</xdr:row>
      <xdr:rowOff>47625</xdr:rowOff>
    </xdr:from>
    <xdr:ext cx="238125" cy="200025"/>
    <xdr:sp>
      <xdr:nvSpPr>
        <xdr:cNvPr id="7" name="TextBox 54"/>
        <xdr:cNvSpPr txBox="1">
          <a:spLocks noChangeArrowheads="1"/>
        </xdr:cNvSpPr>
      </xdr:nvSpPr>
      <xdr:spPr>
        <a:xfrm>
          <a:off x="5486400" y="771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L2</a:t>
          </a:r>
        </a:p>
      </xdr:txBody>
    </xdr:sp>
    <xdr:clientData/>
  </xdr:oneCellAnchor>
  <xdr:twoCellAnchor>
    <xdr:from>
      <xdr:col>7</xdr:col>
      <xdr:colOff>9525</xdr:colOff>
      <xdr:row>10</xdr:row>
      <xdr:rowOff>0</xdr:rowOff>
    </xdr:from>
    <xdr:to>
      <xdr:col>7</xdr:col>
      <xdr:colOff>571500</xdr:colOff>
      <xdr:row>11</xdr:row>
      <xdr:rowOff>57150</xdr:rowOff>
    </xdr:to>
    <xdr:grpSp>
      <xdr:nvGrpSpPr>
        <xdr:cNvPr id="8" name="Group 137"/>
        <xdr:cNvGrpSpPr>
          <a:grpSpLocks/>
        </xdr:cNvGrpSpPr>
      </xdr:nvGrpSpPr>
      <xdr:grpSpPr>
        <a:xfrm>
          <a:off x="4791075" y="1704975"/>
          <a:ext cx="561975" cy="219075"/>
          <a:chOff x="500" y="211"/>
          <a:chExt cx="59" cy="24"/>
        </a:xfrm>
        <a:solidFill>
          <a:srgbClr val="FFFFFF"/>
        </a:solidFill>
      </xdr:grpSpPr>
      <xdr:sp>
        <xdr:nvSpPr>
          <xdr:cNvPr id="9" name="Line 55"/>
          <xdr:cNvSpPr>
            <a:spLocks/>
          </xdr:cNvSpPr>
        </xdr:nvSpPr>
        <xdr:spPr>
          <a:xfrm flipH="1" flipV="1">
            <a:off x="524" y="211"/>
            <a:ext cx="3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56"/>
          <xdr:cNvSpPr>
            <a:spLocks/>
          </xdr:cNvSpPr>
        </xdr:nvSpPr>
        <xdr:spPr>
          <a:xfrm flipH="1">
            <a:off x="500" y="211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oneCellAnchor>
    <xdr:from>
      <xdr:col>7</xdr:col>
      <xdr:colOff>28575</xdr:colOff>
      <xdr:row>9</xdr:row>
      <xdr:rowOff>0</xdr:rowOff>
    </xdr:from>
    <xdr:ext cx="238125" cy="200025"/>
    <xdr:sp>
      <xdr:nvSpPr>
        <xdr:cNvPr id="11" name="TextBox 57"/>
        <xdr:cNvSpPr txBox="1">
          <a:spLocks noChangeArrowheads="1"/>
        </xdr:cNvSpPr>
      </xdr:nvSpPr>
      <xdr:spPr>
        <a:xfrm>
          <a:off x="4810125" y="15430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L1</a:t>
          </a:r>
        </a:p>
      </xdr:txBody>
    </xdr:sp>
    <xdr:clientData/>
  </xdr:oneCellAnchor>
  <xdr:twoCellAnchor>
    <xdr:from>
      <xdr:col>10</xdr:col>
      <xdr:colOff>400050</xdr:colOff>
      <xdr:row>8</xdr:row>
      <xdr:rowOff>0</xdr:rowOff>
    </xdr:from>
    <xdr:to>
      <xdr:col>11</xdr:col>
      <xdr:colOff>161925</xdr:colOff>
      <xdr:row>8</xdr:row>
      <xdr:rowOff>0</xdr:rowOff>
    </xdr:to>
    <xdr:sp>
      <xdr:nvSpPr>
        <xdr:cNvPr id="12" name="Line 59"/>
        <xdr:cNvSpPr>
          <a:spLocks/>
        </xdr:cNvSpPr>
      </xdr:nvSpPr>
      <xdr:spPr>
        <a:xfrm>
          <a:off x="7381875" y="1381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600075</xdr:colOff>
      <xdr:row>11</xdr:row>
      <xdr:rowOff>28575</xdr:rowOff>
    </xdr:from>
    <xdr:to>
      <xdr:col>8</xdr:col>
      <xdr:colOff>133350</xdr:colOff>
      <xdr:row>12</xdr:row>
      <xdr:rowOff>47625</xdr:rowOff>
    </xdr:to>
    <xdr:sp>
      <xdr:nvSpPr>
        <xdr:cNvPr id="13" name="Arc 60"/>
        <xdr:cNvSpPr>
          <a:spLocks/>
        </xdr:cNvSpPr>
      </xdr:nvSpPr>
      <xdr:spPr>
        <a:xfrm>
          <a:off x="5381625" y="1895475"/>
          <a:ext cx="266700" cy="190500"/>
        </a:xfrm>
        <a:prstGeom prst="arc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8</xdr:row>
      <xdr:rowOff>9525</xdr:rowOff>
    </xdr:from>
    <xdr:to>
      <xdr:col>9</xdr:col>
      <xdr:colOff>95250</xdr:colOff>
      <xdr:row>8</xdr:row>
      <xdr:rowOff>9525</xdr:rowOff>
    </xdr:to>
    <xdr:sp>
      <xdr:nvSpPr>
        <xdr:cNvPr id="14" name="Line 62"/>
        <xdr:cNvSpPr>
          <a:spLocks/>
        </xdr:cNvSpPr>
      </xdr:nvSpPr>
      <xdr:spPr>
        <a:xfrm>
          <a:off x="5724525" y="1390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6</xdr:row>
      <xdr:rowOff>152400</xdr:rowOff>
    </xdr:from>
    <xdr:to>
      <xdr:col>8</xdr:col>
      <xdr:colOff>685800</xdr:colOff>
      <xdr:row>8</xdr:row>
      <xdr:rowOff>38100</xdr:rowOff>
    </xdr:to>
    <xdr:sp>
      <xdr:nvSpPr>
        <xdr:cNvPr id="15" name="Arc 63"/>
        <xdr:cNvSpPr>
          <a:spLocks/>
        </xdr:cNvSpPr>
      </xdr:nvSpPr>
      <xdr:spPr>
        <a:xfrm>
          <a:off x="6096000" y="1209675"/>
          <a:ext cx="114300" cy="209550"/>
        </a:xfrm>
        <a:prstGeom prst="arc">
          <a:avLst>
            <a:gd name="adj1" fmla="val -19294722"/>
            <a:gd name="adj2" fmla="val -2279416"/>
            <a:gd name="adj3" fmla="val 39439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10</xdr:col>
      <xdr:colOff>190500</xdr:colOff>
      <xdr:row>6</xdr:row>
      <xdr:rowOff>114300</xdr:rowOff>
    </xdr:from>
    <xdr:ext cx="276225" cy="200025"/>
    <xdr:sp>
      <xdr:nvSpPr>
        <xdr:cNvPr id="16" name="TextBox 67"/>
        <xdr:cNvSpPr txBox="1">
          <a:spLocks noChangeArrowheads="1"/>
        </xdr:cNvSpPr>
      </xdr:nvSpPr>
      <xdr:spPr>
        <a:xfrm>
          <a:off x="7172325" y="117157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O1</a:t>
          </a:r>
        </a:p>
      </xdr:txBody>
    </xdr:sp>
    <xdr:clientData/>
  </xdr:oneCellAnchor>
  <xdr:oneCellAnchor>
    <xdr:from>
      <xdr:col>8</xdr:col>
      <xdr:colOff>76200</xdr:colOff>
      <xdr:row>9</xdr:row>
      <xdr:rowOff>19050</xdr:rowOff>
    </xdr:from>
    <xdr:ext cx="266700" cy="200025"/>
    <xdr:sp>
      <xdr:nvSpPr>
        <xdr:cNvPr id="17" name="TextBox 68"/>
        <xdr:cNvSpPr txBox="1">
          <a:spLocks noChangeArrowheads="1"/>
        </xdr:cNvSpPr>
      </xdr:nvSpPr>
      <xdr:spPr>
        <a:xfrm>
          <a:off x="5591175" y="15621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C1</a:t>
          </a:r>
        </a:p>
      </xdr:txBody>
    </xdr:sp>
    <xdr:clientData/>
  </xdr:oneCellAnchor>
  <xdr:oneCellAnchor>
    <xdr:from>
      <xdr:col>9</xdr:col>
      <xdr:colOff>561975</xdr:colOff>
      <xdr:row>5</xdr:row>
      <xdr:rowOff>57150</xdr:rowOff>
    </xdr:from>
    <xdr:ext cx="257175" cy="200025"/>
    <xdr:sp>
      <xdr:nvSpPr>
        <xdr:cNvPr id="18" name="TextBox 69"/>
        <xdr:cNvSpPr txBox="1">
          <a:spLocks noChangeArrowheads="1"/>
        </xdr:cNvSpPr>
      </xdr:nvSpPr>
      <xdr:spPr>
        <a:xfrm>
          <a:off x="6810375" y="9429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C2</a:t>
          </a:r>
        </a:p>
      </xdr:txBody>
    </xdr:sp>
    <xdr:clientData/>
  </xdr:oneCellAnchor>
  <xdr:oneCellAnchor>
    <xdr:from>
      <xdr:col>10</xdr:col>
      <xdr:colOff>9525</xdr:colOff>
      <xdr:row>3</xdr:row>
      <xdr:rowOff>85725</xdr:rowOff>
    </xdr:from>
    <xdr:ext cx="209550" cy="200025"/>
    <xdr:sp>
      <xdr:nvSpPr>
        <xdr:cNvPr id="19" name="TextBox 75"/>
        <xdr:cNvSpPr txBox="1">
          <a:spLocks noChangeArrowheads="1"/>
        </xdr:cNvSpPr>
      </xdr:nvSpPr>
      <xdr:spPr>
        <a:xfrm>
          <a:off x="6991350" y="647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M</a:t>
          </a:r>
        </a:p>
      </xdr:txBody>
    </xdr:sp>
    <xdr:clientData/>
  </xdr:oneCellAnchor>
  <xdr:twoCellAnchor>
    <xdr:from>
      <xdr:col>10</xdr:col>
      <xdr:colOff>533400</xdr:colOff>
      <xdr:row>3</xdr:row>
      <xdr:rowOff>85725</xdr:rowOff>
    </xdr:from>
    <xdr:to>
      <xdr:col>11</xdr:col>
      <xdr:colOff>304800</xdr:colOff>
      <xdr:row>4</xdr:row>
      <xdr:rowOff>114300</xdr:rowOff>
    </xdr:to>
    <xdr:sp>
      <xdr:nvSpPr>
        <xdr:cNvPr id="20" name="Line 82"/>
        <xdr:cNvSpPr>
          <a:spLocks/>
        </xdr:cNvSpPr>
      </xdr:nvSpPr>
      <xdr:spPr>
        <a:xfrm flipV="1">
          <a:off x="7515225" y="647700"/>
          <a:ext cx="5048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304800</xdr:colOff>
      <xdr:row>3</xdr:row>
      <xdr:rowOff>85725</xdr:rowOff>
    </xdr:from>
    <xdr:to>
      <xdr:col>11</xdr:col>
      <xdr:colOff>504825</xdr:colOff>
      <xdr:row>3</xdr:row>
      <xdr:rowOff>85725</xdr:rowOff>
    </xdr:to>
    <xdr:sp>
      <xdr:nvSpPr>
        <xdr:cNvPr id="21" name="Line 83"/>
        <xdr:cNvSpPr>
          <a:spLocks/>
        </xdr:cNvSpPr>
      </xdr:nvSpPr>
      <xdr:spPr>
        <a:xfrm>
          <a:off x="8020050" y="647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</xdr:row>
      <xdr:rowOff>114300</xdr:rowOff>
    </xdr:from>
    <xdr:ext cx="238125" cy="200025"/>
    <xdr:sp>
      <xdr:nvSpPr>
        <xdr:cNvPr id="22" name="TextBox 85"/>
        <xdr:cNvSpPr txBox="1">
          <a:spLocks noChangeArrowheads="1"/>
        </xdr:cNvSpPr>
      </xdr:nvSpPr>
      <xdr:spPr>
        <a:xfrm>
          <a:off x="8067675" y="5048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L3</a:t>
          </a:r>
        </a:p>
      </xdr:txBody>
    </xdr:sp>
    <xdr:clientData/>
  </xdr:oneCellAnchor>
  <xdr:twoCellAnchor>
    <xdr:from>
      <xdr:col>10</xdr:col>
      <xdr:colOff>390525</xdr:colOff>
      <xdr:row>3</xdr:row>
      <xdr:rowOff>114300</xdr:rowOff>
    </xdr:from>
    <xdr:to>
      <xdr:col>10</xdr:col>
      <xdr:colOff>542925</xdr:colOff>
      <xdr:row>8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7372350" y="676275"/>
          <a:ext cx="152400" cy="714375"/>
        </a:xfrm>
        <a:prstGeom prst="lin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200025</xdr:colOff>
      <xdr:row>3</xdr:row>
      <xdr:rowOff>123825</xdr:rowOff>
    </xdr:from>
    <xdr:to>
      <xdr:col>10</xdr:col>
      <xdr:colOff>533400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5715000" y="685800"/>
          <a:ext cx="1800225" cy="695325"/>
        </a:xfrm>
        <a:prstGeom prst="lin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457200</xdr:colOff>
      <xdr:row>8</xdr:row>
      <xdr:rowOff>0</xdr:rowOff>
    </xdr:from>
    <xdr:to>
      <xdr:col>8</xdr:col>
      <xdr:colOff>200025</xdr:colOff>
      <xdr:row>12</xdr:row>
      <xdr:rowOff>57150</xdr:rowOff>
    </xdr:to>
    <xdr:sp>
      <xdr:nvSpPr>
        <xdr:cNvPr id="25" name="Line 25"/>
        <xdr:cNvSpPr>
          <a:spLocks/>
        </xdr:cNvSpPr>
      </xdr:nvSpPr>
      <xdr:spPr>
        <a:xfrm flipH="1">
          <a:off x="5238750" y="1381125"/>
          <a:ext cx="476250" cy="714375"/>
        </a:xfrm>
        <a:prstGeom prst="lin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123825</xdr:rowOff>
    </xdr:from>
    <xdr:to>
      <xdr:col>7</xdr:col>
      <xdr:colOff>457200</xdr:colOff>
      <xdr:row>12</xdr:row>
      <xdr:rowOff>47625</xdr:rowOff>
    </xdr:to>
    <xdr:sp>
      <xdr:nvSpPr>
        <xdr:cNvPr id="26" name="Line 86"/>
        <xdr:cNvSpPr>
          <a:spLocks/>
        </xdr:cNvSpPr>
      </xdr:nvSpPr>
      <xdr:spPr>
        <a:xfrm flipV="1">
          <a:off x="5238750" y="51435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457200</xdr:colOff>
      <xdr:row>12</xdr:row>
      <xdr:rowOff>47625</xdr:rowOff>
    </xdr:from>
    <xdr:to>
      <xdr:col>12</xdr:col>
      <xdr:colOff>0</xdr:colOff>
      <xdr:row>12</xdr:row>
      <xdr:rowOff>47625</xdr:rowOff>
    </xdr:to>
    <xdr:sp>
      <xdr:nvSpPr>
        <xdr:cNvPr id="27" name="Line 88"/>
        <xdr:cNvSpPr>
          <a:spLocks/>
        </xdr:cNvSpPr>
      </xdr:nvSpPr>
      <xdr:spPr>
        <a:xfrm>
          <a:off x="5238750" y="2085975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638175</xdr:colOff>
      <xdr:row>12</xdr:row>
      <xdr:rowOff>76200</xdr:rowOff>
    </xdr:from>
    <xdr:ext cx="161925" cy="200025"/>
    <xdr:sp>
      <xdr:nvSpPr>
        <xdr:cNvPr id="28" name="TextBox 89"/>
        <xdr:cNvSpPr txBox="1">
          <a:spLocks noChangeArrowheads="1"/>
        </xdr:cNvSpPr>
      </xdr:nvSpPr>
      <xdr:spPr>
        <a:xfrm>
          <a:off x="8353425" y="21145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X</a:t>
          </a:r>
        </a:p>
      </xdr:txBody>
    </xdr:sp>
    <xdr:clientData/>
  </xdr:oneCellAnchor>
  <xdr:oneCellAnchor>
    <xdr:from>
      <xdr:col>7</xdr:col>
      <xdr:colOff>295275</xdr:colOff>
      <xdr:row>2</xdr:row>
      <xdr:rowOff>114300</xdr:rowOff>
    </xdr:from>
    <xdr:ext cx="180975" cy="200025"/>
    <xdr:sp>
      <xdr:nvSpPr>
        <xdr:cNvPr id="29" name="TextBox 90"/>
        <xdr:cNvSpPr txBox="1">
          <a:spLocks noChangeArrowheads="1"/>
        </xdr:cNvSpPr>
      </xdr:nvSpPr>
      <xdr:spPr>
        <a:xfrm>
          <a:off x="5076825" y="5048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Y</a:t>
          </a:r>
        </a:p>
      </xdr:txBody>
    </xdr:sp>
    <xdr:clientData/>
  </xdr:oneCellAnchor>
  <xdr:twoCellAnchor>
    <xdr:from>
      <xdr:col>9</xdr:col>
      <xdr:colOff>638175</xdr:colOff>
      <xdr:row>6</xdr:row>
      <xdr:rowOff>47625</xdr:rowOff>
    </xdr:from>
    <xdr:to>
      <xdr:col>9</xdr:col>
      <xdr:colOff>676275</xdr:colOff>
      <xdr:row>6</xdr:row>
      <xdr:rowOff>95250</xdr:rowOff>
    </xdr:to>
    <xdr:sp>
      <xdr:nvSpPr>
        <xdr:cNvPr id="30" name="Oval 94"/>
        <xdr:cNvSpPr>
          <a:spLocks/>
        </xdr:cNvSpPr>
      </xdr:nvSpPr>
      <xdr:spPr>
        <a:xfrm>
          <a:off x="6886575" y="1104900"/>
          <a:ext cx="47625" cy="476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161925</xdr:colOff>
      <xdr:row>7</xdr:row>
      <xdr:rowOff>133350</xdr:rowOff>
    </xdr:from>
    <xdr:to>
      <xdr:col>8</xdr:col>
      <xdr:colOff>228600</xdr:colOff>
      <xdr:row>8</xdr:row>
      <xdr:rowOff>38100</xdr:rowOff>
    </xdr:to>
    <xdr:sp>
      <xdr:nvSpPr>
        <xdr:cNvPr id="31" name="Oval 95"/>
        <xdr:cNvSpPr>
          <a:spLocks/>
        </xdr:cNvSpPr>
      </xdr:nvSpPr>
      <xdr:spPr>
        <a:xfrm>
          <a:off x="5676900" y="1352550"/>
          <a:ext cx="66675" cy="666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10</xdr:row>
      <xdr:rowOff>9525</xdr:rowOff>
    </xdr:from>
    <xdr:to>
      <xdr:col>8</xdr:col>
      <xdr:colOff>190500</xdr:colOff>
      <xdr:row>10</xdr:row>
      <xdr:rowOff>57150</xdr:rowOff>
    </xdr:to>
    <xdr:sp>
      <xdr:nvSpPr>
        <xdr:cNvPr id="32" name="Oval 96"/>
        <xdr:cNvSpPr>
          <a:spLocks/>
        </xdr:cNvSpPr>
      </xdr:nvSpPr>
      <xdr:spPr>
        <a:xfrm>
          <a:off x="5657850" y="1714500"/>
          <a:ext cx="47625" cy="476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85725</xdr:rowOff>
    </xdr:from>
    <xdr:to>
      <xdr:col>10</xdr:col>
      <xdr:colOff>133350</xdr:colOff>
      <xdr:row>5</xdr:row>
      <xdr:rowOff>0</xdr:rowOff>
    </xdr:to>
    <xdr:sp>
      <xdr:nvSpPr>
        <xdr:cNvPr id="33" name="Oval 99"/>
        <xdr:cNvSpPr>
          <a:spLocks/>
        </xdr:cNvSpPr>
      </xdr:nvSpPr>
      <xdr:spPr>
        <a:xfrm>
          <a:off x="7038975" y="80962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3</xdr:row>
      <xdr:rowOff>85725</xdr:rowOff>
    </xdr:from>
    <xdr:to>
      <xdr:col>10</xdr:col>
      <xdr:colOff>571500</xdr:colOff>
      <xdr:row>3</xdr:row>
      <xdr:rowOff>161925</xdr:rowOff>
    </xdr:to>
    <xdr:sp>
      <xdr:nvSpPr>
        <xdr:cNvPr id="34" name="Oval 100"/>
        <xdr:cNvSpPr>
          <a:spLocks/>
        </xdr:cNvSpPr>
      </xdr:nvSpPr>
      <xdr:spPr>
        <a:xfrm>
          <a:off x="7477125" y="647700"/>
          <a:ext cx="76200" cy="762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638175</xdr:colOff>
      <xdr:row>6</xdr:row>
      <xdr:rowOff>0</xdr:rowOff>
    </xdr:from>
    <xdr:to>
      <xdr:col>10</xdr:col>
      <xdr:colOff>676275</xdr:colOff>
      <xdr:row>6</xdr:row>
      <xdr:rowOff>47625</xdr:rowOff>
    </xdr:to>
    <xdr:sp>
      <xdr:nvSpPr>
        <xdr:cNvPr id="35" name="Oval 107"/>
        <xdr:cNvSpPr>
          <a:spLocks/>
        </xdr:cNvSpPr>
      </xdr:nvSpPr>
      <xdr:spPr>
        <a:xfrm>
          <a:off x="7620000" y="1057275"/>
          <a:ext cx="47625" cy="476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10</xdr:col>
      <xdr:colOff>571500</xdr:colOff>
      <xdr:row>5</xdr:row>
      <xdr:rowOff>19050</xdr:rowOff>
    </xdr:from>
    <xdr:ext cx="257175" cy="200025"/>
    <xdr:sp>
      <xdr:nvSpPr>
        <xdr:cNvPr id="36" name="TextBox 108"/>
        <xdr:cNvSpPr txBox="1">
          <a:spLocks noChangeArrowheads="1"/>
        </xdr:cNvSpPr>
      </xdr:nvSpPr>
      <xdr:spPr>
        <a:xfrm>
          <a:off x="7553325" y="9048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C3</a:t>
          </a:r>
        </a:p>
      </xdr:txBody>
    </xdr:sp>
    <xdr:clientData/>
  </xdr:oneCellAnchor>
  <xdr:twoCellAnchor>
    <xdr:from>
      <xdr:col>7</xdr:col>
      <xdr:colOff>295275</xdr:colOff>
      <xdr:row>6</xdr:row>
      <xdr:rowOff>66675</xdr:rowOff>
    </xdr:from>
    <xdr:to>
      <xdr:col>8</xdr:col>
      <xdr:colOff>419100</xdr:colOff>
      <xdr:row>12</xdr:row>
      <xdr:rowOff>152400</xdr:rowOff>
    </xdr:to>
    <xdr:sp>
      <xdr:nvSpPr>
        <xdr:cNvPr id="37" name="AutoShape 111"/>
        <xdr:cNvSpPr>
          <a:spLocks/>
        </xdr:cNvSpPr>
      </xdr:nvSpPr>
      <xdr:spPr>
        <a:xfrm>
          <a:off x="5076825" y="1123950"/>
          <a:ext cx="857250" cy="1066800"/>
        </a:xfrm>
        <a:custGeom>
          <a:pathLst>
            <a:path h="113" w="91">
              <a:moveTo>
                <a:pt x="13" y="112"/>
              </a:moveTo>
              <a:cubicBezTo>
                <a:pt x="20" y="113"/>
                <a:pt x="34" y="113"/>
                <a:pt x="45" y="105"/>
              </a:cubicBezTo>
              <a:cubicBezTo>
                <a:pt x="56" y="97"/>
                <a:pt x="75" y="78"/>
                <a:pt x="82" y="64"/>
              </a:cubicBezTo>
              <a:cubicBezTo>
                <a:pt x="89" y="50"/>
                <a:pt x="91" y="31"/>
                <a:pt x="87" y="21"/>
              </a:cubicBezTo>
              <a:cubicBezTo>
                <a:pt x="83" y="11"/>
                <a:pt x="67" y="2"/>
                <a:pt x="58" y="1"/>
              </a:cubicBezTo>
              <a:cubicBezTo>
                <a:pt x="49" y="0"/>
                <a:pt x="38" y="5"/>
                <a:pt x="30" y="13"/>
              </a:cubicBezTo>
              <a:cubicBezTo>
                <a:pt x="22" y="21"/>
                <a:pt x="15" y="34"/>
                <a:pt x="10" y="48"/>
              </a:cubicBezTo>
              <a:cubicBezTo>
                <a:pt x="5" y="62"/>
                <a:pt x="0" y="86"/>
                <a:pt x="1" y="97"/>
              </a:cubicBezTo>
              <a:cubicBezTo>
                <a:pt x="2" y="108"/>
                <a:pt x="6" y="111"/>
                <a:pt x="13" y="112"/>
              </a:cubicBez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2</xdr:row>
      <xdr:rowOff>47625</xdr:rowOff>
    </xdr:from>
    <xdr:to>
      <xdr:col>11</xdr:col>
      <xdr:colOff>114300</xdr:colOff>
      <xdr:row>8</xdr:row>
      <xdr:rowOff>104775</xdr:rowOff>
    </xdr:to>
    <xdr:sp>
      <xdr:nvSpPr>
        <xdr:cNvPr id="38" name="AutoShape 113"/>
        <xdr:cNvSpPr>
          <a:spLocks/>
        </xdr:cNvSpPr>
      </xdr:nvSpPr>
      <xdr:spPr>
        <a:xfrm>
          <a:off x="7172325" y="438150"/>
          <a:ext cx="657225" cy="1047750"/>
        </a:xfrm>
        <a:custGeom>
          <a:pathLst>
            <a:path h="110" w="70">
              <a:moveTo>
                <a:pt x="24" y="108"/>
              </a:moveTo>
              <a:cubicBezTo>
                <a:pt x="32" y="106"/>
                <a:pt x="47" y="102"/>
                <a:pt x="55" y="91"/>
              </a:cubicBezTo>
              <a:cubicBezTo>
                <a:pt x="63" y="80"/>
                <a:pt x="70" y="53"/>
                <a:pt x="69" y="39"/>
              </a:cubicBezTo>
              <a:cubicBezTo>
                <a:pt x="68" y="25"/>
                <a:pt x="56" y="8"/>
                <a:pt x="47" y="4"/>
              </a:cubicBezTo>
              <a:cubicBezTo>
                <a:pt x="38" y="0"/>
                <a:pt x="23" y="4"/>
                <a:pt x="17" y="12"/>
              </a:cubicBezTo>
              <a:cubicBezTo>
                <a:pt x="11" y="20"/>
                <a:pt x="12" y="40"/>
                <a:pt x="9" y="51"/>
              </a:cubicBezTo>
              <a:cubicBezTo>
                <a:pt x="6" y="62"/>
                <a:pt x="0" y="69"/>
                <a:pt x="0" y="77"/>
              </a:cubicBezTo>
              <a:cubicBezTo>
                <a:pt x="0" y="85"/>
                <a:pt x="3" y="95"/>
                <a:pt x="7" y="100"/>
              </a:cubicBezTo>
              <a:cubicBezTo>
                <a:pt x="11" y="105"/>
                <a:pt x="16" y="110"/>
                <a:pt x="24" y="108"/>
              </a:cubicBez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723900</xdr:colOff>
      <xdr:row>1</xdr:row>
      <xdr:rowOff>190500</xdr:rowOff>
    </xdr:from>
    <xdr:to>
      <xdr:col>10</xdr:col>
      <xdr:colOff>647700</xdr:colOff>
      <xdr:row>9</xdr:row>
      <xdr:rowOff>57150</xdr:rowOff>
    </xdr:to>
    <xdr:sp>
      <xdr:nvSpPr>
        <xdr:cNvPr id="39" name="AutoShape 116"/>
        <xdr:cNvSpPr>
          <a:spLocks/>
        </xdr:cNvSpPr>
      </xdr:nvSpPr>
      <xdr:spPr>
        <a:xfrm>
          <a:off x="5505450" y="390525"/>
          <a:ext cx="2124075" cy="1209675"/>
        </a:xfrm>
        <a:custGeom>
          <a:pathLst>
            <a:path h="125" w="226">
              <a:moveTo>
                <a:pt x="72" y="123"/>
              </a:moveTo>
              <a:cubicBezTo>
                <a:pt x="90" y="121"/>
                <a:pt x="109" y="115"/>
                <a:pt x="126" y="108"/>
              </a:cubicBezTo>
              <a:cubicBezTo>
                <a:pt x="143" y="101"/>
                <a:pt x="156" y="88"/>
                <a:pt x="172" y="78"/>
              </a:cubicBezTo>
              <a:cubicBezTo>
                <a:pt x="188" y="68"/>
                <a:pt x="212" y="59"/>
                <a:pt x="219" y="49"/>
              </a:cubicBezTo>
              <a:cubicBezTo>
                <a:pt x="226" y="39"/>
                <a:pt x="220" y="23"/>
                <a:pt x="213" y="16"/>
              </a:cubicBezTo>
              <a:cubicBezTo>
                <a:pt x="206" y="9"/>
                <a:pt x="198" y="0"/>
                <a:pt x="175" y="5"/>
              </a:cubicBezTo>
              <a:cubicBezTo>
                <a:pt x="152" y="10"/>
                <a:pt x="103" y="35"/>
                <a:pt x="77" y="48"/>
              </a:cubicBezTo>
              <a:cubicBezTo>
                <a:pt x="51" y="61"/>
                <a:pt x="30" y="71"/>
                <a:pt x="17" y="80"/>
              </a:cubicBezTo>
              <a:cubicBezTo>
                <a:pt x="4" y="89"/>
                <a:pt x="0" y="97"/>
                <a:pt x="0" y="104"/>
              </a:cubicBezTo>
              <a:cubicBezTo>
                <a:pt x="0" y="111"/>
                <a:pt x="8" y="118"/>
                <a:pt x="20" y="121"/>
              </a:cubicBezTo>
              <a:cubicBezTo>
                <a:pt x="32" y="124"/>
                <a:pt x="54" y="125"/>
                <a:pt x="72" y="123"/>
              </a:cubicBez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</xdr:row>
      <xdr:rowOff>38100</xdr:rowOff>
    </xdr:from>
    <xdr:to>
      <xdr:col>7</xdr:col>
      <xdr:colOff>590550</xdr:colOff>
      <xdr:row>13</xdr:row>
      <xdr:rowOff>9525</xdr:rowOff>
    </xdr:to>
    <xdr:sp>
      <xdr:nvSpPr>
        <xdr:cNvPr id="40" name="AutoShape 139"/>
        <xdr:cNvSpPr>
          <a:spLocks/>
        </xdr:cNvSpPr>
      </xdr:nvSpPr>
      <xdr:spPr>
        <a:xfrm>
          <a:off x="5143500" y="2076450"/>
          <a:ext cx="228600" cy="1428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6</xdr:row>
      <xdr:rowOff>133350</xdr:rowOff>
    </xdr:from>
    <xdr:to>
      <xdr:col>10</xdr:col>
      <xdr:colOff>714375</xdr:colOff>
      <xdr:row>8</xdr:row>
      <xdr:rowOff>0</xdr:rowOff>
    </xdr:to>
    <xdr:sp>
      <xdr:nvSpPr>
        <xdr:cNvPr id="41" name="Arc 117"/>
        <xdr:cNvSpPr>
          <a:spLocks/>
        </xdr:cNvSpPr>
      </xdr:nvSpPr>
      <xdr:spPr>
        <a:xfrm>
          <a:off x="7429500" y="1190625"/>
          <a:ext cx="266700" cy="190500"/>
        </a:xfrm>
        <a:prstGeom prst="arc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9525</xdr:rowOff>
    </xdr:from>
    <xdr:to>
      <xdr:col>7</xdr:col>
      <xdr:colOff>666750</xdr:colOff>
      <xdr:row>13</xdr:row>
      <xdr:rowOff>9525</xdr:rowOff>
    </xdr:to>
    <xdr:sp>
      <xdr:nvSpPr>
        <xdr:cNvPr id="42" name="Line 140"/>
        <xdr:cNvSpPr>
          <a:spLocks/>
        </xdr:cNvSpPr>
      </xdr:nvSpPr>
      <xdr:spPr>
        <a:xfrm>
          <a:off x="5057775" y="22193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9525</xdr:rowOff>
    </xdr:from>
    <xdr:to>
      <xdr:col>7</xdr:col>
      <xdr:colOff>504825</xdr:colOff>
      <xdr:row>12</xdr:row>
      <xdr:rowOff>85725</xdr:rowOff>
    </xdr:to>
    <xdr:sp>
      <xdr:nvSpPr>
        <xdr:cNvPr id="43" name="Oval 97"/>
        <xdr:cNvSpPr>
          <a:spLocks/>
        </xdr:cNvSpPr>
      </xdr:nvSpPr>
      <xdr:spPr>
        <a:xfrm>
          <a:off x="5210175" y="2047875"/>
          <a:ext cx="76200" cy="762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8</xdr:row>
      <xdr:rowOff>152400</xdr:rowOff>
    </xdr:from>
    <xdr:to>
      <xdr:col>10</xdr:col>
      <xdr:colOff>590550</xdr:colOff>
      <xdr:row>9</xdr:row>
      <xdr:rowOff>85725</xdr:rowOff>
    </xdr:to>
    <xdr:sp>
      <xdr:nvSpPr>
        <xdr:cNvPr id="44" name="Rectangle 144"/>
        <xdr:cNvSpPr>
          <a:spLocks/>
        </xdr:cNvSpPr>
      </xdr:nvSpPr>
      <xdr:spPr>
        <a:xfrm>
          <a:off x="7181850" y="1533525"/>
          <a:ext cx="390525" cy="95250"/>
        </a:xfrm>
        <a:prstGeom prst="rect">
          <a:avLst/>
        </a:prstGeom>
        <a:pattFill prst="wdUpDiag">
          <a:fgClr>
            <a:srgbClr val="000000"/>
          </a:fgClr>
          <a:bgClr>
            <a:srgbClr val="33CCCC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8</xdr:row>
      <xdr:rowOff>9525</xdr:rowOff>
    </xdr:from>
    <xdr:to>
      <xdr:col>10</xdr:col>
      <xdr:colOff>514350</xdr:colOff>
      <xdr:row>8</xdr:row>
      <xdr:rowOff>152400</xdr:rowOff>
    </xdr:to>
    <xdr:sp>
      <xdr:nvSpPr>
        <xdr:cNvPr id="45" name="AutoShape 145"/>
        <xdr:cNvSpPr>
          <a:spLocks/>
        </xdr:cNvSpPr>
      </xdr:nvSpPr>
      <xdr:spPr>
        <a:xfrm>
          <a:off x="7267575" y="1390650"/>
          <a:ext cx="228600" cy="1428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8</xdr:row>
      <xdr:rowOff>152400</xdr:rowOff>
    </xdr:from>
    <xdr:to>
      <xdr:col>10</xdr:col>
      <xdr:colOff>590550</xdr:colOff>
      <xdr:row>8</xdr:row>
      <xdr:rowOff>152400</xdr:rowOff>
    </xdr:to>
    <xdr:sp>
      <xdr:nvSpPr>
        <xdr:cNvPr id="46" name="Line 146"/>
        <xdr:cNvSpPr>
          <a:spLocks/>
        </xdr:cNvSpPr>
      </xdr:nvSpPr>
      <xdr:spPr>
        <a:xfrm>
          <a:off x="7181850" y="1533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7</xdr:row>
      <xdr:rowOff>133350</xdr:rowOff>
    </xdr:from>
    <xdr:to>
      <xdr:col>10</xdr:col>
      <xdr:colOff>438150</xdr:colOff>
      <xdr:row>8</xdr:row>
      <xdr:rowOff>38100</xdr:rowOff>
    </xdr:to>
    <xdr:sp>
      <xdr:nvSpPr>
        <xdr:cNvPr id="47" name="Oval 98"/>
        <xdr:cNvSpPr>
          <a:spLocks/>
        </xdr:cNvSpPr>
      </xdr:nvSpPr>
      <xdr:spPr>
        <a:xfrm>
          <a:off x="7343775" y="1352550"/>
          <a:ext cx="76200" cy="666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47625</xdr:rowOff>
    </xdr:from>
    <xdr:to>
      <xdr:col>8</xdr:col>
      <xdr:colOff>238125</xdr:colOff>
      <xdr:row>11</xdr:row>
      <xdr:rowOff>133350</xdr:rowOff>
    </xdr:to>
    <xdr:sp>
      <xdr:nvSpPr>
        <xdr:cNvPr id="48" name="TextBox 147"/>
        <xdr:cNvSpPr txBox="1">
          <a:spLocks noChangeArrowheads="1"/>
        </xdr:cNvSpPr>
      </xdr:nvSpPr>
      <xdr:spPr>
        <a:xfrm>
          <a:off x="5562600" y="17526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j</a:t>
          </a:r>
        </a:p>
      </xdr:txBody>
    </xdr:sp>
    <xdr:clientData/>
  </xdr:twoCellAnchor>
  <xdr:twoCellAnchor>
    <xdr:from>
      <xdr:col>11</xdr:col>
      <xdr:colOff>19050</xdr:colOff>
      <xdr:row>6</xdr:row>
      <xdr:rowOff>85725</xdr:rowOff>
    </xdr:from>
    <xdr:to>
      <xdr:col>11</xdr:col>
      <xdr:colOff>209550</xdr:colOff>
      <xdr:row>8</xdr:row>
      <xdr:rowOff>28575</xdr:rowOff>
    </xdr:to>
    <xdr:sp>
      <xdr:nvSpPr>
        <xdr:cNvPr id="49" name="TextBox 148"/>
        <xdr:cNvSpPr txBox="1">
          <a:spLocks noChangeArrowheads="1"/>
        </xdr:cNvSpPr>
      </xdr:nvSpPr>
      <xdr:spPr>
        <a:xfrm>
          <a:off x="7734300" y="114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9</xdr:col>
      <xdr:colOff>66675</xdr:colOff>
      <xdr:row>6</xdr:row>
      <xdr:rowOff>104775</xdr:rowOff>
    </xdr:from>
    <xdr:to>
      <xdr:col>9</xdr:col>
      <xdr:colOff>276225</xdr:colOff>
      <xdr:row>8</xdr:row>
      <xdr:rowOff>38100</xdr:rowOff>
    </xdr:to>
    <xdr:sp>
      <xdr:nvSpPr>
        <xdr:cNvPr id="50" name="TextBox 149"/>
        <xdr:cNvSpPr txBox="1">
          <a:spLocks noChangeArrowheads="1"/>
        </xdr:cNvSpPr>
      </xdr:nvSpPr>
      <xdr:spPr>
        <a:xfrm>
          <a:off x="6315075" y="11620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F15" sqref="F15"/>
    </sheetView>
  </sheetViews>
  <sheetFormatPr defaultColWidth="9.00390625" defaultRowHeight="12.7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SheetLayoutView="100" workbookViewId="0" topLeftCell="A128">
      <selection activeCell="D140" sqref="D140"/>
    </sheetView>
  </sheetViews>
  <sheetFormatPr defaultColWidth="9.00390625" defaultRowHeight="12.75"/>
  <cols>
    <col min="2" max="2" width="9.00390625" style="0" customWidth="1"/>
    <col min="3" max="3" width="9.25390625" style="0" customWidth="1"/>
    <col min="4" max="4" width="8.75390625" style="0" customWidth="1"/>
    <col min="5" max="5" width="8.125" style="0" customWidth="1"/>
    <col min="6" max="6" width="9.00390625" style="0" customWidth="1"/>
    <col min="7" max="13" width="9.625" style="0" bestFit="1" customWidth="1"/>
    <col min="14" max="14" width="7.625" style="0" customWidth="1"/>
    <col min="15" max="25" width="9.625" style="0" bestFit="1" customWidth="1"/>
    <col min="26" max="26" width="9.625" style="0" customWidth="1"/>
  </cols>
  <sheetData>
    <row r="1" spans="1:14" s="11" customFormat="1" ht="15.75" thickBot="1">
      <c r="A1" s="16"/>
      <c r="B1" s="17" t="s">
        <v>0</v>
      </c>
      <c r="C1" s="18"/>
      <c r="D1" s="19"/>
      <c r="E1" s="19"/>
      <c r="F1" s="19"/>
      <c r="G1" s="19"/>
      <c r="H1" s="19"/>
      <c r="I1" s="19"/>
      <c r="J1" s="19"/>
      <c r="K1" s="19"/>
      <c r="L1" s="19"/>
      <c r="M1" s="20"/>
      <c r="N1" s="15"/>
    </row>
    <row r="2" spans="1:14" s="11" customFormat="1" ht="15" thickBot="1">
      <c r="A2" s="108"/>
      <c r="B2" s="109"/>
      <c r="C2" s="115" t="s">
        <v>3</v>
      </c>
      <c r="D2" s="116"/>
      <c r="E2" s="116"/>
      <c r="F2" s="116"/>
      <c r="G2" s="117"/>
      <c r="H2" s="116"/>
      <c r="I2" s="115" t="s">
        <v>4</v>
      </c>
      <c r="J2" s="116"/>
      <c r="K2" s="110"/>
      <c r="L2" s="110"/>
      <c r="M2" s="111"/>
      <c r="N2" s="15"/>
    </row>
    <row r="3" spans="1:14" s="11" customFormat="1" ht="13.5" thickBot="1">
      <c r="A3" s="112" t="s">
        <v>1</v>
      </c>
      <c r="B3" s="113" t="s">
        <v>2</v>
      </c>
      <c r="C3" s="112" t="s">
        <v>1</v>
      </c>
      <c r="D3" s="113" t="s">
        <v>2</v>
      </c>
      <c r="E3" s="114" t="s">
        <v>1</v>
      </c>
      <c r="F3" s="114" t="s">
        <v>2</v>
      </c>
      <c r="G3" s="24"/>
      <c r="H3" s="25"/>
      <c r="I3" s="25"/>
      <c r="J3" s="25"/>
      <c r="K3" s="25"/>
      <c r="L3" s="25"/>
      <c r="M3" s="26"/>
      <c r="N3" s="15"/>
    </row>
    <row r="4" spans="1:14" s="11" customFormat="1" ht="12.75">
      <c r="A4" s="103" t="s">
        <v>85</v>
      </c>
      <c r="B4" s="28">
        <v>4</v>
      </c>
      <c r="C4" s="103" t="s">
        <v>82</v>
      </c>
      <c r="D4" s="29">
        <v>10</v>
      </c>
      <c r="E4" s="103" t="s">
        <v>79</v>
      </c>
      <c r="F4" s="27">
        <f>B5</f>
        <v>8</v>
      </c>
      <c r="G4" s="40"/>
      <c r="H4" s="30"/>
      <c r="I4" s="30"/>
      <c r="J4" s="30"/>
      <c r="K4" s="30"/>
      <c r="L4" s="30"/>
      <c r="M4" s="31"/>
      <c r="N4" s="15"/>
    </row>
    <row r="5" spans="1:14" s="11" customFormat="1" ht="12.75">
      <c r="A5" s="104" t="s">
        <v>86</v>
      </c>
      <c r="B5" s="33">
        <v>8</v>
      </c>
      <c r="C5" s="104" t="s">
        <v>83</v>
      </c>
      <c r="D5" s="34">
        <v>4</v>
      </c>
      <c r="E5" s="104" t="s">
        <v>80</v>
      </c>
      <c r="F5" s="32">
        <v>0</v>
      </c>
      <c r="G5" s="40"/>
      <c r="H5" s="30"/>
      <c r="I5" s="30"/>
      <c r="J5" s="30"/>
      <c r="K5" s="30"/>
      <c r="L5" s="30"/>
      <c r="M5" s="31"/>
      <c r="N5" s="15"/>
    </row>
    <row r="6" spans="1:14" s="11" customFormat="1" ht="13.5" thickBot="1">
      <c r="A6" s="107" t="s">
        <v>87</v>
      </c>
      <c r="B6" s="35">
        <f>B4</f>
        <v>4</v>
      </c>
      <c r="C6" s="107" t="s">
        <v>84</v>
      </c>
      <c r="D6" s="36">
        <v>2</v>
      </c>
      <c r="E6" s="107" t="s">
        <v>81</v>
      </c>
      <c r="F6" s="37">
        <v>20</v>
      </c>
      <c r="G6" s="40"/>
      <c r="H6" s="30"/>
      <c r="I6" s="30"/>
      <c r="J6" s="30"/>
      <c r="K6" s="30"/>
      <c r="L6" s="30"/>
      <c r="M6" s="31"/>
      <c r="N6" s="15"/>
    </row>
    <row r="7" spans="1:14" s="11" customFormat="1" ht="12.75">
      <c r="A7" s="99" t="s">
        <v>88</v>
      </c>
      <c r="B7" s="27">
        <f>$B$4*COS(RADIANS($F$7))</f>
        <v>3.9945181390182953</v>
      </c>
      <c r="C7" s="95" t="s">
        <v>70</v>
      </c>
      <c r="D7" s="27">
        <f>$B$4*SIN(RADIANS($F$7))</f>
        <v>0.20934382497177534</v>
      </c>
      <c r="E7" s="103" t="s">
        <v>76</v>
      </c>
      <c r="F7" s="38">
        <v>3</v>
      </c>
      <c r="G7" s="40"/>
      <c r="H7" s="30"/>
      <c r="I7" s="30"/>
      <c r="J7" s="30"/>
      <c r="K7" s="30"/>
      <c r="L7" s="30"/>
      <c r="M7" s="31"/>
      <c r="N7" s="15"/>
    </row>
    <row r="8" spans="1:14" s="11" customFormat="1" ht="12.75">
      <c r="A8" s="100" t="s">
        <v>71</v>
      </c>
      <c r="B8" s="32">
        <f>$B$7+$B$5*COS($B$48)</f>
        <v>11.994518139018295</v>
      </c>
      <c r="C8" s="96" t="s">
        <v>69</v>
      </c>
      <c r="D8" s="32">
        <f>$D$7+$B$5*SIN($B$48)</f>
        <v>0.20934382497176862</v>
      </c>
      <c r="E8" s="104" t="s">
        <v>77</v>
      </c>
      <c r="F8" s="11">
        <v>1</v>
      </c>
      <c r="G8" s="40"/>
      <c r="H8" s="30"/>
      <c r="I8" s="30"/>
      <c r="J8" s="30"/>
      <c r="K8" s="30"/>
      <c r="L8" s="30"/>
      <c r="M8" s="31"/>
      <c r="N8" s="15"/>
    </row>
    <row r="9" spans="1:14" s="11" customFormat="1" ht="12.75">
      <c r="A9" s="101" t="s">
        <v>72</v>
      </c>
      <c r="B9" s="32">
        <f>$B$7+$F$6*COS($B$48)</f>
        <v>23.994518139018297</v>
      </c>
      <c r="C9" s="97" t="s">
        <v>68</v>
      </c>
      <c r="D9" s="41">
        <f>$D$7+$F$6*SIN($B$48)</f>
        <v>0.20934382497175857</v>
      </c>
      <c r="E9" s="105" t="s">
        <v>99</v>
      </c>
      <c r="F9" s="32">
        <v>0</v>
      </c>
      <c r="G9" s="40"/>
      <c r="H9" s="30"/>
      <c r="I9" s="30"/>
      <c r="J9" s="30"/>
      <c r="K9" s="30"/>
      <c r="L9" s="30"/>
      <c r="M9" s="31"/>
      <c r="N9" s="15"/>
    </row>
    <row r="10" spans="1:14" s="11" customFormat="1" ht="12.75">
      <c r="A10" s="102" t="s">
        <v>73</v>
      </c>
      <c r="B10" s="38">
        <v>3</v>
      </c>
      <c r="C10" s="98" t="s">
        <v>67</v>
      </c>
      <c r="D10" s="32">
        <v>1.2</v>
      </c>
      <c r="E10" s="106" t="s">
        <v>78</v>
      </c>
      <c r="F10" s="42">
        <v>15</v>
      </c>
      <c r="G10" s="40"/>
      <c r="H10" s="30"/>
      <c r="I10" s="30"/>
      <c r="J10" s="30"/>
      <c r="K10" s="30"/>
      <c r="L10" s="30"/>
      <c r="M10" s="31"/>
      <c r="N10" s="15"/>
    </row>
    <row r="11" spans="1:14" s="11" customFormat="1" ht="12.75">
      <c r="A11" s="100" t="s">
        <v>74</v>
      </c>
      <c r="B11" s="42">
        <v>6</v>
      </c>
      <c r="C11" s="96" t="s">
        <v>66</v>
      </c>
      <c r="D11" s="39">
        <v>9</v>
      </c>
      <c r="E11" s="106" t="s">
        <v>100</v>
      </c>
      <c r="F11" s="32">
        <v>0</v>
      </c>
      <c r="G11" s="40"/>
      <c r="H11" s="30"/>
      <c r="I11" s="30"/>
      <c r="J11" s="30"/>
      <c r="K11" s="30"/>
      <c r="L11" s="30"/>
      <c r="M11" s="31"/>
      <c r="N11" s="15"/>
    </row>
    <row r="12" spans="1:14" s="11" customFormat="1" ht="13.5" thickBot="1">
      <c r="A12" s="100" t="s">
        <v>75</v>
      </c>
      <c r="B12" s="42">
        <v>3</v>
      </c>
      <c r="C12" s="96" t="s">
        <v>65</v>
      </c>
      <c r="D12" s="39">
        <v>1.2</v>
      </c>
      <c r="E12" s="41"/>
      <c r="F12" s="41"/>
      <c r="G12" s="40"/>
      <c r="H12" s="30"/>
      <c r="I12" s="30"/>
      <c r="J12" s="30"/>
      <c r="K12" s="30"/>
      <c r="L12" s="30"/>
      <c r="M12" s="31"/>
      <c r="N12" s="15"/>
    </row>
    <row r="13" spans="1:14" s="11" customFormat="1" ht="13.5" thickBot="1">
      <c r="A13" s="94" t="s">
        <v>62</v>
      </c>
      <c r="B13" s="44">
        <v>3</v>
      </c>
      <c r="C13" s="93" t="s">
        <v>63</v>
      </c>
      <c r="D13" s="43">
        <v>4</v>
      </c>
      <c r="E13" s="93" t="s">
        <v>64</v>
      </c>
      <c r="F13" s="44">
        <v>3</v>
      </c>
      <c r="G13" s="40"/>
      <c r="H13" s="30"/>
      <c r="I13" s="30"/>
      <c r="J13" s="30"/>
      <c r="K13" s="30"/>
      <c r="L13" s="30"/>
      <c r="M13" s="31"/>
      <c r="N13" s="15"/>
    </row>
    <row r="14" spans="1:14" s="11" customFormat="1" ht="13.5" thickBot="1">
      <c r="A14" s="21"/>
      <c r="B14" s="22"/>
      <c r="C14" s="22"/>
      <c r="D14" s="22"/>
      <c r="E14" s="22"/>
      <c r="F14" s="23"/>
      <c r="G14" s="65"/>
      <c r="H14" s="12"/>
      <c r="I14" s="12"/>
      <c r="J14" s="12"/>
      <c r="K14" s="12"/>
      <c r="L14" s="12"/>
      <c r="M14" s="14"/>
      <c r="N14" s="15"/>
    </row>
    <row r="15" spans="1:14" s="11" customFormat="1" ht="16.5" thickBot="1">
      <c r="A15" s="90"/>
      <c r="B15" s="91"/>
      <c r="C15" s="91"/>
      <c r="D15" s="91"/>
      <c r="E15" s="91"/>
      <c r="F15" s="92"/>
      <c r="G15" s="47" t="s">
        <v>89</v>
      </c>
      <c r="H15" s="46"/>
      <c r="I15" s="48"/>
      <c r="J15" s="46"/>
      <c r="K15" s="46"/>
      <c r="L15" s="46"/>
      <c r="M15" s="49"/>
      <c r="N15" s="45"/>
    </row>
    <row r="16" spans="1:26" s="11" customFormat="1" ht="12.75">
      <c r="A16" s="50" t="s">
        <v>35</v>
      </c>
      <c r="B16" s="3">
        <f>$F$7</f>
        <v>3</v>
      </c>
      <c r="C16" s="3">
        <f>B16+$F$10</f>
        <v>18</v>
      </c>
      <c r="D16" s="3">
        <f aca="true" t="shared" si="0" ref="D16:Z16">C16+$F$10</f>
        <v>33</v>
      </c>
      <c r="E16" s="3">
        <f t="shared" si="0"/>
        <v>48</v>
      </c>
      <c r="F16" s="3">
        <f t="shared" si="0"/>
        <v>63</v>
      </c>
      <c r="G16" s="3">
        <f t="shared" si="0"/>
        <v>78</v>
      </c>
      <c r="H16" s="3">
        <f t="shared" si="0"/>
        <v>93</v>
      </c>
      <c r="I16" s="3">
        <f t="shared" si="0"/>
        <v>108</v>
      </c>
      <c r="J16" s="3">
        <f t="shared" si="0"/>
        <v>123</v>
      </c>
      <c r="K16" s="3">
        <f t="shared" si="0"/>
        <v>138</v>
      </c>
      <c r="L16" s="3">
        <f t="shared" si="0"/>
        <v>153</v>
      </c>
      <c r="M16" s="6">
        <f t="shared" si="0"/>
        <v>168</v>
      </c>
      <c r="N16" s="45">
        <f t="shared" si="0"/>
        <v>183</v>
      </c>
      <c r="O16" s="45">
        <f t="shared" si="0"/>
        <v>198</v>
      </c>
      <c r="P16" s="45">
        <f t="shared" si="0"/>
        <v>213</v>
      </c>
      <c r="Q16" s="45">
        <f t="shared" si="0"/>
        <v>228</v>
      </c>
      <c r="R16" s="45">
        <f t="shared" si="0"/>
        <v>243</v>
      </c>
      <c r="S16" s="45">
        <f t="shared" si="0"/>
        <v>258</v>
      </c>
      <c r="T16" s="45">
        <f t="shared" si="0"/>
        <v>273</v>
      </c>
      <c r="U16" s="45">
        <f t="shared" si="0"/>
        <v>288</v>
      </c>
      <c r="V16" s="45">
        <f t="shared" si="0"/>
        <v>303</v>
      </c>
      <c r="W16" s="45">
        <f t="shared" si="0"/>
        <v>318</v>
      </c>
      <c r="X16" s="45">
        <f t="shared" si="0"/>
        <v>333</v>
      </c>
      <c r="Y16" s="45">
        <f t="shared" si="0"/>
        <v>348</v>
      </c>
      <c r="Z16" s="45">
        <f t="shared" si="0"/>
        <v>363</v>
      </c>
    </row>
    <row r="17" spans="1:26" s="11" customFormat="1" ht="12.75">
      <c r="A17" s="51" t="s">
        <v>93</v>
      </c>
      <c r="B17" s="4">
        <f>RADIANS(B16-$F$7)</f>
        <v>0</v>
      </c>
      <c r="C17" s="4">
        <f aca="true" t="shared" si="1" ref="C17:Z17">RADIANS(C16-$F$7)</f>
        <v>0.2617993877991494</v>
      </c>
      <c r="D17" s="4">
        <f t="shared" si="1"/>
        <v>0.5235987755982988</v>
      </c>
      <c r="E17" s="4">
        <f t="shared" si="1"/>
        <v>0.7853981633974483</v>
      </c>
      <c r="F17" s="4">
        <f t="shared" si="1"/>
        <v>1.0471975511965976</v>
      </c>
      <c r="G17" s="4">
        <f t="shared" si="1"/>
        <v>1.3089969389957472</v>
      </c>
      <c r="H17" s="4">
        <f t="shared" si="1"/>
        <v>1.5707963267948966</v>
      </c>
      <c r="I17" s="4">
        <f t="shared" si="1"/>
        <v>1.8325957145940461</v>
      </c>
      <c r="J17" s="4">
        <f t="shared" si="1"/>
        <v>2.0943951023931953</v>
      </c>
      <c r="K17" s="4">
        <f t="shared" si="1"/>
        <v>2.356194490192345</v>
      </c>
      <c r="L17" s="4">
        <f t="shared" si="1"/>
        <v>2.6179938779914944</v>
      </c>
      <c r="M17" s="8">
        <f t="shared" si="1"/>
        <v>2.8797932657906435</v>
      </c>
      <c r="N17" s="11">
        <f t="shared" si="1"/>
        <v>3.141592653589793</v>
      </c>
      <c r="O17" s="11">
        <f t="shared" si="1"/>
        <v>3.4033920413889427</v>
      </c>
      <c r="P17" s="11">
        <f t="shared" si="1"/>
        <v>3.6651914291880923</v>
      </c>
      <c r="Q17" s="11">
        <f t="shared" si="1"/>
        <v>3.9269908169872414</v>
      </c>
      <c r="R17" s="11">
        <f t="shared" si="1"/>
        <v>4.1887902047863905</v>
      </c>
      <c r="S17" s="11">
        <f t="shared" si="1"/>
        <v>4.4505895925855405</v>
      </c>
      <c r="T17" s="11">
        <f t="shared" si="1"/>
        <v>4.71238898038469</v>
      </c>
      <c r="U17" s="11">
        <f t="shared" si="1"/>
        <v>4.974188368183839</v>
      </c>
      <c r="V17" s="11">
        <f t="shared" si="1"/>
        <v>5.235987755982989</v>
      </c>
      <c r="W17" s="11">
        <f t="shared" si="1"/>
        <v>5.497787143782138</v>
      </c>
      <c r="X17" s="11">
        <f t="shared" si="1"/>
        <v>5.759586531581287</v>
      </c>
      <c r="Y17" s="11">
        <f t="shared" si="1"/>
        <v>6.021385919380437</v>
      </c>
      <c r="Z17" s="11">
        <f t="shared" si="1"/>
        <v>6.283185307179586</v>
      </c>
    </row>
    <row r="18" spans="1:26" s="11" customFormat="1" ht="12.75">
      <c r="A18" s="51" t="s">
        <v>94</v>
      </c>
      <c r="B18" s="4">
        <f aca="true" t="shared" si="2" ref="B18:Z18">COS(B17)</f>
        <v>1</v>
      </c>
      <c r="C18" s="4">
        <f t="shared" si="2"/>
        <v>0.9659258262890683</v>
      </c>
      <c r="D18" s="4">
        <f t="shared" si="2"/>
        <v>0.8660254037844387</v>
      </c>
      <c r="E18" s="4">
        <f t="shared" si="2"/>
        <v>0.7071067811865476</v>
      </c>
      <c r="F18" s="4">
        <f t="shared" si="2"/>
        <v>0.5000000000000001</v>
      </c>
      <c r="G18" s="4">
        <f t="shared" si="2"/>
        <v>0.25881904510252074</v>
      </c>
      <c r="H18" s="4">
        <f t="shared" si="2"/>
        <v>6.1257422745431E-17</v>
      </c>
      <c r="I18" s="4">
        <f t="shared" si="2"/>
        <v>-0.25881904510252085</v>
      </c>
      <c r="J18" s="4">
        <f t="shared" si="2"/>
        <v>-0.4999999999999998</v>
      </c>
      <c r="K18" s="4">
        <f t="shared" si="2"/>
        <v>-0.7071067811865475</v>
      </c>
      <c r="L18" s="4">
        <f t="shared" si="2"/>
        <v>-0.8660254037844387</v>
      </c>
      <c r="M18" s="8">
        <f t="shared" si="2"/>
        <v>-0.9659258262890682</v>
      </c>
      <c r="N18" s="11">
        <f t="shared" si="2"/>
        <v>-1</v>
      </c>
      <c r="O18" s="11">
        <f t="shared" si="2"/>
        <v>-0.9659258262890683</v>
      </c>
      <c r="P18" s="11">
        <f t="shared" si="2"/>
        <v>-0.8660254037844386</v>
      </c>
      <c r="Q18" s="11">
        <f t="shared" si="2"/>
        <v>-0.7071067811865477</v>
      </c>
      <c r="R18" s="11">
        <f t="shared" si="2"/>
        <v>-0.5000000000000004</v>
      </c>
      <c r="S18" s="11">
        <f t="shared" si="2"/>
        <v>-0.25881904510252063</v>
      </c>
      <c r="T18" s="11">
        <f t="shared" si="2"/>
        <v>-1.83772268236293E-16</v>
      </c>
      <c r="U18" s="11">
        <f t="shared" si="2"/>
        <v>0.2588190451025203</v>
      </c>
      <c r="V18" s="11">
        <f t="shared" si="2"/>
        <v>0.5000000000000001</v>
      </c>
      <c r="W18" s="11">
        <f t="shared" si="2"/>
        <v>0.7071067811865474</v>
      </c>
      <c r="X18" s="11">
        <f t="shared" si="2"/>
        <v>0.8660254037844384</v>
      </c>
      <c r="Y18" s="11">
        <f t="shared" si="2"/>
        <v>0.9659258262890683</v>
      </c>
      <c r="Z18" s="11">
        <f t="shared" si="2"/>
        <v>1</v>
      </c>
    </row>
    <row r="19" spans="1:26" s="11" customFormat="1" ht="13.5" thickBot="1">
      <c r="A19" s="52" t="s">
        <v>95</v>
      </c>
      <c r="B19" s="5">
        <f>SIN(B17)</f>
        <v>0</v>
      </c>
      <c r="C19" s="5">
        <f aca="true" t="shared" si="3" ref="C19:Z19">SIN(C17)</f>
        <v>0.25881904510252074</v>
      </c>
      <c r="D19" s="5">
        <f t="shared" si="3"/>
        <v>0.49999999999999994</v>
      </c>
      <c r="E19" s="5">
        <f t="shared" si="3"/>
        <v>0.7071067811865475</v>
      </c>
      <c r="F19" s="5">
        <f t="shared" si="3"/>
        <v>0.8660254037844386</v>
      </c>
      <c r="G19" s="5">
        <f t="shared" si="3"/>
        <v>0.9659258262890683</v>
      </c>
      <c r="H19" s="5">
        <f t="shared" si="3"/>
        <v>1</v>
      </c>
      <c r="I19" s="5">
        <f t="shared" si="3"/>
        <v>0.9659258262890683</v>
      </c>
      <c r="J19" s="5">
        <f t="shared" si="3"/>
        <v>0.8660254037844387</v>
      </c>
      <c r="K19" s="5">
        <f t="shared" si="3"/>
        <v>0.7071067811865476</v>
      </c>
      <c r="L19" s="5">
        <f t="shared" si="3"/>
        <v>0.49999999999999994</v>
      </c>
      <c r="M19" s="9">
        <f t="shared" si="3"/>
        <v>0.258819045102521</v>
      </c>
      <c r="N19" s="11">
        <f t="shared" si="3"/>
        <v>1.22514845490862E-16</v>
      </c>
      <c r="O19" s="11">
        <f t="shared" si="3"/>
        <v>-0.2588190451025208</v>
      </c>
      <c r="P19" s="11">
        <f t="shared" si="3"/>
        <v>-0.5000000000000001</v>
      </c>
      <c r="Q19" s="11">
        <f t="shared" si="3"/>
        <v>-0.7071067811865475</v>
      </c>
      <c r="R19" s="11">
        <f t="shared" si="3"/>
        <v>-0.8660254037844384</v>
      </c>
      <c r="S19" s="11">
        <f t="shared" si="3"/>
        <v>-0.9659258262890683</v>
      </c>
      <c r="T19" s="11">
        <f t="shared" si="3"/>
        <v>-1</v>
      </c>
      <c r="U19" s="11">
        <f t="shared" si="3"/>
        <v>-0.9659258262890684</v>
      </c>
      <c r="V19" s="11">
        <f t="shared" si="3"/>
        <v>-0.8660254037844386</v>
      </c>
      <c r="W19" s="11">
        <f t="shared" si="3"/>
        <v>-0.7071067811865477</v>
      </c>
      <c r="X19" s="11">
        <f t="shared" si="3"/>
        <v>-0.5000000000000004</v>
      </c>
      <c r="Y19" s="11">
        <f t="shared" si="3"/>
        <v>-0.2588190451025207</v>
      </c>
      <c r="Z19" s="11">
        <f t="shared" si="3"/>
        <v>-2.45029690981724E-16</v>
      </c>
    </row>
    <row r="20" spans="1:26" s="11" customFormat="1" ht="13.5" thickBot="1">
      <c r="A20" s="135" t="s">
        <v>96</v>
      </c>
      <c r="B20" s="5">
        <f>F9</f>
        <v>0</v>
      </c>
      <c r="C20" s="5">
        <f>B20+$F$11</f>
        <v>0</v>
      </c>
      <c r="D20" s="5">
        <f aca="true" t="shared" si="4" ref="D20:Z20">C20+$F$11</f>
        <v>0</v>
      </c>
      <c r="E20" s="5">
        <f t="shared" si="4"/>
        <v>0</v>
      </c>
      <c r="F20" s="5">
        <f t="shared" si="4"/>
        <v>0</v>
      </c>
      <c r="G20" s="5">
        <f t="shared" si="4"/>
        <v>0</v>
      </c>
      <c r="H20" s="5">
        <f t="shared" si="4"/>
        <v>0</v>
      </c>
      <c r="I20" s="5">
        <f t="shared" si="4"/>
        <v>0</v>
      </c>
      <c r="J20" s="5">
        <f t="shared" si="4"/>
        <v>0</v>
      </c>
      <c r="K20" s="5">
        <f t="shared" si="4"/>
        <v>0</v>
      </c>
      <c r="L20" s="5">
        <f t="shared" si="4"/>
        <v>0</v>
      </c>
      <c r="M20" s="5">
        <f t="shared" si="4"/>
        <v>0</v>
      </c>
      <c r="N20" s="5">
        <f t="shared" si="4"/>
        <v>0</v>
      </c>
      <c r="O20" s="5">
        <f t="shared" si="4"/>
        <v>0</v>
      </c>
      <c r="P20" s="5">
        <f t="shared" si="4"/>
        <v>0</v>
      </c>
      <c r="Q20" s="5">
        <f t="shared" si="4"/>
        <v>0</v>
      </c>
      <c r="R20" s="5">
        <f t="shared" si="4"/>
        <v>0</v>
      </c>
      <c r="S20" s="5">
        <f t="shared" si="4"/>
        <v>0</v>
      </c>
      <c r="T20" s="5">
        <f t="shared" si="4"/>
        <v>0</v>
      </c>
      <c r="U20" s="5">
        <f t="shared" si="4"/>
        <v>0</v>
      </c>
      <c r="V20" s="5">
        <f t="shared" si="4"/>
        <v>0</v>
      </c>
      <c r="W20" s="5">
        <f t="shared" si="4"/>
        <v>0</v>
      </c>
      <c r="X20" s="5">
        <f t="shared" si="4"/>
        <v>0</v>
      </c>
      <c r="Y20" s="5">
        <f t="shared" si="4"/>
        <v>0</v>
      </c>
      <c r="Z20" s="5">
        <f t="shared" si="4"/>
        <v>0</v>
      </c>
    </row>
    <row r="21" spans="1:26" s="11" customFormat="1" ht="13.5" thickBot="1">
      <c r="A21" s="135" t="s">
        <v>97</v>
      </c>
      <c r="B21" s="5">
        <f>0</f>
        <v>0</v>
      </c>
      <c r="C21" s="5">
        <f>(C16-B16)/B22</f>
        <v>15</v>
      </c>
      <c r="D21" s="5">
        <f aca="true" t="shared" si="5" ref="D21:Z21">(D16-C16)/C22</f>
        <v>15</v>
      </c>
      <c r="E21" s="5">
        <f t="shared" si="5"/>
        <v>15</v>
      </c>
      <c r="F21" s="5">
        <f t="shared" si="5"/>
        <v>15</v>
      </c>
      <c r="G21" s="5">
        <f t="shared" si="5"/>
        <v>15</v>
      </c>
      <c r="H21" s="5">
        <f t="shared" si="5"/>
        <v>15</v>
      </c>
      <c r="I21" s="5">
        <f t="shared" si="5"/>
        <v>15</v>
      </c>
      <c r="J21" s="5">
        <f t="shared" si="5"/>
        <v>15</v>
      </c>
      <c r="K21" s="5">
        <f t="shared" si="5"/>
        <v>15</v>
      </c>
      <c r="L21" s="5">
        <f t="shared" si="5"/>
        <v>15</v>
      </c>
      <c r="M21" s="5">
        <f t="shared" si="5"/>
        <v>15</v>
      </c>
      <c r="N21" s="5">
        <f t="shared" si="5"/>
        <v>15</v>
      </c>
      <c r="O21" s="5">
        <f t="shared" si="5"/>
        <v>15</v>
      </c>
      <c r="P21" s="5">
        <f t="shared" si="5"/>
        <v>15</v>
      </c>
      <c r="Q21" s="5">
        <f t="shared" si="5"/>
        <v>15</v>
      </c>
      <c r="R21" s="5">
        <f t="shared" si="5"/>
        <v>15</v>
      </c>
      <c r="S21" s="5">
        <f t="shared" si="5"/>
        <v>15</v>
      </c>
      <c r="T21" s="5">
        <f t="shared" si="5"/>
        <v>15</v>
      </c>
      <c r="U21" s="5">
        <f t="shared" si="5"/>
        <v>15</v>
      </c>
      <c r="V21" s="5">
        <f t="shared" si="5"/>
        <v>15</v>
      </c>
      <c r="W21" s="5">
        <f t="shared" si="5"/>
        <v>15</v>
      </c>
      <c r="X21" s="5">
        <f t="shared" si="5"/>
        <v>15</v>
      </c>
      <c r="Y21" s="5">
        <f t="shared" si="5"/>
        <v>15</v>
      </c>
      <c r="Z21" s="5">
        <f t="shared" si="5"/>
        <v>15</v>
      </c>
    </row>
    <row r="22" spans="1:26" s="11" customFormat="1" ht="13.5" thickBot="1">
      <c r="A22" s="135" t="s">
        <v>98</v>
      </c>
      <c r="B22" s="5">
        <f>F8</f>
        <v>1</v>
      </c>
      <c r="C22" s="5">
        <f>B22+B20*B21</f>
        <v>1</v>
      </c>
      <c r="D22" s="5">
        <f aca="true" t="shared" si="6" ref="D22:Z22">C22+C20*C21</f>
        <v>1</v>
      </c>
      <c r="E22" s="5">
        <f t="shared" si="6"/>
        <v>1</v>
      </c>
      <c r="F22" s="5">
        <f t="shared" si="6"/>
        <v>1</v>
      </c>
      <c r="G22" s="5">
        <f t="shared" si="6"/>
        <v>1</v>
      </c>
      <c r="H22" s="5">
        <f t="shared" si="6"/>
        <v>1</v>
      </c>
      <c r="I22" s="5">
        <f t="shared" si="6"/>
        <v>1</v>
      </c>
      <c r="J22" s="5">
        <f t="shared" si="6"/>
        <v>1</v>
      </c>
      <c r="K22" s="5">
        <f t="shared" si="6"/>
        <v>1</v>
      </c>
      <c r="L22" s="5">
        <f t="shared" si="6"/>
        <v>1</v>
      </c>
      <c r="M22" s="5">
        <f t="shared" si="6"/>
        <v>1</v>
      </c>
      <c r="N22" s="5">
        <f t="shared" si="6"/>
        <v>1</v>
      </c>
      <c r="O22" s="5">
        <f t="shared" si="6"/>
        <v>1</v>
      </c>
      <c r="P22" s="5">
        <f t="shared" si="6"/>
        <v>1</v>
      </c>
      <c r="Q22" s="5">
        <f t="shared" si="6"/>
        <v>1</v>
      </c>
      <c r="R22" s="5">
        <f t="shared" si="6"/>
        <v>1</v>
      </c>
      <c r="S22" s="5">
        <f t="shared" si="6"/>
        <v>1</v>
      </c>
      <c r="T22" s="5">
        <f t="shared" si="6"/>
        <v>1</v>
      </c>
      <c r="U22" s="5">
        <f t="shared" si="6"/>
        <v>1</v>
      </c>
      <c r="V22" s="5">
        <f t="shared" si="6"/>
        <v>1</v>
      </c>
      <c r="W22" s="5">
        <f t="shared" si="6"/>
        <v>1</v>
      </c>
      <c r="X22" s="5">
        <f t="shared" si="6"/>
        <v>1</v>
      </c>
      <c r="Y22" s="5">
        <f t="shared" si="6"/>
        <v>1</v>
      </c>
      <c r="Z22" s="5">
        <f t="shared" si="6"/>
        <v>1</v>
      </c>
    </row>
    <row r="23" spans="1:13" s="11" customFormat="1" ht="16.5" thickBot="1">
      <c r="A23" s="53"/>
      <c r="B23" s="54"/>
      <c r="C23" s="54"/>
      <c r="D23" s="54"/>
      <c r="E23" s="54"/>
      <c r="F23" s="55"/>
      <c r="G23" s="55" t="s">
        <v>7</v>
      </c>
      <c r="H23" s="54"/>
      <c r="I23" s="54"/>
      <c r="J23" s="54"/>
      <c r="K23" s="54"/>
      <c r="L23" s="54"/>
      <c r="M23" s="56"/>
    </row>
    <row r="24" spans="1:26" s="11" customFormat="1" ht="12.75">
      <c r="A24" s="50" t="s">
        <v>34</v>
      </c>
      <c r="B24" s="3">
        <f>$B$7*B18-$D$7*B19</f>
        <v>3.9945181390182953</v>
      </c>
      <c r="C24" s="3">
        <f aca="true" t="shared" si="7" ref="C24:Z24">$B$7*C18-$D$7*C19</f>
        <v>3.804226065180614</v>
      </c>
      <c r="D24" s="3">
        <f t="shared" si="7"/>
        <v>3.354682271781696</v>
      </c>
      <c r="E24" s="3">
        <f t="shared" si="7"/>
        <v>2.676522425435433</v>
      </c>
      <c r="F24" s="3">
        <f t="shared" si="7"/>
        <v>1.8159619989581874</v>
      </c>
      <c r="G24" s="3">
        <f t="shared" si="7"/>
        <v>0.8316467632710373</v>
      </c>
      <c r="H24" s="3">
        <f t="shared" si="7"/>
        <v>-0.2093438249717751</v>
      </c>
      <c r="I24" s="3">
        <f t="shared" si="7"/>
        <v>-1.23606797749979</v>
      </c>
      <c r="J24" s="3">
        <f t="shared" si="7"/>
        <v>-2.1785561400601074</v>
      </c>
      <c r="K24" s="3">
        <f t="shared" si="7"/>
        <v>-2.9725793019095765</v>
      </c>
      <c r="L24" s="3">
        <f t="shared" si="7"/>
        <v>-3.564026096753471</v>
      </c>
      <c r="M24" s="6">
        <f t="shared" si="7"/>
        <v>-3.912590402935222</v>
      </c>
      <c r="N24" s="11">
        <f t="shared" si="7"/>
        <v>-3.9945181390182953</v>
      </c>
      <c r="O24" s="11">
        <f t="shared" si="7"/>
        <v>-3.804226065180614</v>
      </c>
      <c r="P24" s="11">
        <f t="shared" si="7"/>
        <v>-3.3546822717816953</v>
      </c>
      <c r="Q24" s="11">
        <f t="shared" si="7"/>
        <v>-2.6765224254354334</v>
      </c>
      <c r="R24" s="11">
        <f t="shared" si="7"/>
        <v>-1.815961998958189</v>
      </c>
      <c r="S24" s="11">
        <f t="shared" si="7"/>
        <v>-0.8316467632710368</v>
      </c>
      <c r="T24" s="11">
        <f t="shared" si="7"/>
        <v>0.20934382497177462</v>
      </c>
      <c r="U24" s="11">
        <f t="shared" si="7"/>
        <v>1.236067977499788</v>
      </c>
      <c r="V24" s="11">
        <f t="shared" si="7"/>
        <v>2.178556140060109</v>
      </c>
      <c r="W24" s="11">
        <f t="shared" si="7"/>
        <v>2.972579301909576</v>
      </c>
      <c r="X24" s="11">
        <f t="shared" si="7"/>
        <v>3.5640260967534703</v>
      </c>
      <c r="Y24" s="11">
        <f t="shared" si="7"/>
        <v>3.9125904029352223</v>
      </c>
      <c r="Z24" s="11">
        <f t="shared" si="7"/>
        <v>3.9945181390182953</v>
      </c>
    </row>
    <row r="25" spans="1:26" s="11" customFormat="1" ht="12.75">
      <c r="A25" s="51" t="s">
        <v>24</v>
      </c>
      <c r="B25" s="4">
        <f>$B$7*B19+$D$7*B18</f>
        <v>0.20934382497177534</v>
      </c>
      <c r="C25" s="4">
        <f aca="true" t="shared" si="8" ref="C25:Z25">$B$7*C19+$D$7*C18</f>
        <v>1.2360679774997896</v>
      </c>
      <c r="D25" s="4">
        <f t="shared" si="8"/>
        <v>2.178556140060108</v>
      </c>
      <c r="E25" s="4">
        <f t="shared" si="8"/>
        <v>2.9725793019095765</v>
      </c>
      <c r="F25" s="4">
        <f t="shared" si="8"/>
        <v>3.564026096753471</v>
      </c>
      <c r="G25" s="4">
        <f t="shared" si="8"/>
        <v>3.9125904029352223</v>
      </c>
      <c r="H25" s="4">
        <f t="shared" si="8"/>
        <v>3.9945181390182953</v>
      </c>
      <c r="I25" s="4">
        <f t="shared" si="8"/>
        <v>3.804226065180614</v>
      </c>
      <c r="J25" s="4">
        <f t="shared" si="8"/>
        <v>3.354682271781696</v>
      </c>
      <c r="K25" s="4">
        <f t="shared" si="8"/>
        <v>2.676522425435433</v>
      </c>
      <c r="L25" s="4">
        <f t="shared" si="8"/>
        <v>1.8159619989581868</v>
      </c>
      <c r="M25" s="8">
        <f t="shared" si="8"/>
        <v>0.8316467632710385</v>
      </c>
      <c r="N25" s="11">
        <f t="shared" si="8"/>
        <v>-0.20934382497177484</v>
      </c>
      <c r="O25" s="11">
        <f t="shared" si="8"/>
        <v>-1.2360679774997898</v>
      </c>
      <c r="P25" s="11">
        <f t="shared" si="8"/>
        <v>-2.178556140060109</v>
      </c>
      <c r="Q25" s="11">
        <f t="shared" si="8"/>
        <v>-2.9725793019095765</v>
      </c>
      <c r="R25" s="11">
        <f t="shared" si="8"/>
        <v>-3.5640260967534703</v>
      </c>
      <c r="S25" s="11">
        <f t="shared" si="8"/>
        <v>-3.9125904029352223</v>
      </c>
      <c r="T25" s="11">
        <f t="shared" si="8"/>
        <v>-3.9945181390182953</v>
      </c>
      <c r="U25" s="11">
        <f t="shared" si="8"/>
        <v>-3.8042260651806146</v>
      </c>
      <c r="V25" s="11">
        <f t="shared" si="8"/>
        <v>-3.3546822717816953</v>
      </c>
      <c r="W25" s="11">
        <f t="shared" si="8"/>
        <v>-2.6765224254354334</v>
      </c>
      <c r="X25" s="11">
        <f t="shared" si="8"/>
        <v>-1.815961998958189</v>
      </c>
      <c r="Y25" s="11">
        <f t="shared" si="8"/>
        <v>-0.831646763271037</v>
      </c>
      <c r="Z25" s="11">
        <f t="shared" si="8"/>
        <v>0.20934382497177437</v>
      </c>
    </row>
    <row r="26" spans="1:26" s="11" customFormat="1" ht="12.75">
      <c r="A26" s="51" t="s">
        <v>23</v>
      </c>
      <c r="B26" s="4">
        <f>-B22*B25</f>
        <v>-0.20934382497177534</v>
      </c>
      <c r="C26" s="4">
        <f aca="true" t="shared" si="9" ref="C26:Z26">-C22*C25</f>
        <v>-1.2360679774997896</v>
      </c>
      <c r="D26" s="4">
        <f t="shared" si="9"/>
        <v>-2.178556140060108</v>
      </c>
      <c r="E26" s="4">
        <f t="shared" si="9"/>
        <v>-2.9725793019095765</v>
      </c>
      <c r="F26" s="4">
        <f t="shared" si="9"/>
        <v>-3.564026096753471</v>
      </c>
      <c r="G26" s="4">
        <f t="shared" si="9"/>
        <v>-3.9125904029352223</v>
      </c>
      <c r="H26" s="4">
        <f t="shared" si="9"/>
        <v>-3.9945181390182953</v>
      </c>
      <c r="I26" s="4">
        <f t="shared" si="9"/>
        <v>-3.804226065180614</v>
      </c>
      <c r="J26" s="4">
        <f t="shared" si="9"/>
        <v>-3.354682271781696</v>
      </c>
      <c r="K26" s="4">
        <f t="shared" si="9"/>
        <v>-2.676522425435433</v>
      </c>
      <c r="L26" s="4">
        <f t="shared" si="9"/>
        <v>-1.8159619989581868</v>
      </c>
      <c r="M26" s="4">
        <f t="shared" si="9"/>
        <v>-0.8316467632710385</v>
      </c>
      <c r="N26" s="4">
        <f t="shared" si="9"/>
        <v>0.20934382497177484</v>
      </c>
      <c r="O26" s="4">
        <f t="shared" si="9"/>
        <v>1.2360679774997898</v>
      </c>
      <c r="P26" s="4">
        <f t="shared" si="9"/>
        <v>2.178556140060109</v>
      </c>
      <c r="Q26" s="4">
        <f t="shared" si="9"/>
        <v>2.9725793019095765</v>
      </c>
      <c r="R26" s="4">
        <f t="shared" si="9"/>
        <v>3.5640260967534703</v>
      </c>
      <c r="S26" s="4">
        <f t="shared" si="9"/>
        <v>3.9125904029352223</v>
      </c>
      <c r="T26" s="4">
        <f t="shared" si="9"/>
        <v>3.9945181390182953</v>
      </c>
      <c r="U26" s="4">
        <f t="shared" si="9"/>
        <v>3.8042260651806146</v>
      </c>
      <c r="V26" s="4">
        <f t="shared" si="9"/>
        <v>3.3546822717816953</v>
      </c>
      <c r="W26" s="4">
        <f t="shared" si="9"/>
        <v>2.6765224254354334</v>
      </c>
      <c r="X26" s="4">
        <f t="shared" si="9"/>
        <v>1.815961998958189</v>
      </c>
      <c r="Y26" s="4">
        <f t="shared" si="9"/>
        <v>0.831646763271037</v>
      </c>
      <c r="Z26" s="4">
        <f t="shared" si="9"/>
        <v>-0.20934382497177437</v>
      </c>
    </row>
    <row r="27" spans="1:26" s="11" customFormat="1" ht="12.75">
      <c r="A27" s="51" t="s">
        <v>33</v>
      </c>
      <c r="B27" s="4">
        <f>B22*B24</f>
        <v>3.9945181390182953</v>
      </c>
      <c r="C27" s="4">
        <f aca="true" t="shared" si="10" ref="C27:Z27">C22*C24</f>
        <v>3.804226065180614</v>
      </c>
      <c r="D27" s="4">
        <f t="shared" si="10"/>
        <v>3.354682271781696</v>
      </c>
      <c r="E27" s="4">
        <f t="shared" si="10"/>
        <v>2.676522425435433</v>
      </c>
      <c r="F27" s="4">
        <f t="shared" si="10"/>
        <v>1.8159619989581874</v>
      </c>
      <c r="G27" s="4">
        <f t="shared" si="10"/>
        <v>0.8316467632710373</v>
      </c>
      <c r="H27" s="4">
        <f t="shared" si="10"/>
        <v>-0.2093438249717751</v>
      </c>
      <c r="I27" s="4">
        <f t="shared" si="10"/>
        <v>-1.23606797749979</v>
      </c>
      <c r="J27" s="4">
        <f t="shared" si="10"/>
        <v>-2.1785561400601074</v>
      </c>
      <c r="K27" s="4">
        <f t="shared" si="10"/>
        <v>-2.9725793019095765</v>
      </c>
      <c r="L27" s="4">
        <f t="shared" si="10"/>
        <v>-3.564026096753471</v>
      </c>
      <c r="M27" s="4">
        <f t="shared" si="10"/>
        <v>-3.912590402935222</v>
      </c>
      <c r="N27" s="4">
        <f t="shared" si="10"/>
        <v>-3.9945181390182953</v>
      </c>
      <c r="O27" s="4">
        <f t="shared" si="10"/>
        <v>-3.804226065180614</v>
      </c>
      <c r="P27" s="4">
        <f t="shared" si="10"/>
        <v>-3.3546822717816953</v>
      </c>
      <c r="Q27" s="4">
        <f t="shared" si="10"/>
        <v>-2.6765224254354334</v>
      </c>
      <c r="R27" s="4">
        <f t="shared" si="10"/>
        <v>-1.815961998958189</v>
      </c>
      <c r="S27" s="4">
        <f t="shared" si="10"/>
        <v>-0.8316467632710368</v>
      </c>
      <c r="T27" s="4">
        <f t="shared" si="10"/>
        <v>0.20934382497177462</v>
      </c>
      <c r="U27" s="4">
        <f t="shared" si="10"/>
        <v>1.236067977499788</v>
      </c>
      <c r="V27" s="4">
        <f t="shared" si="10"/>
        <v>2.178556140060109</v>
      </c>
      <c r="W27" s="4">
        <f t="shared" si="10"/>
        <v>2.972579301909576</v>
      </c>
      <c r="X27" s="4">
        <f t="shared" si="10"/>
        <v>3.5640260967534703</v>
      </c>
      <c r="Y27" s="4">
        <f t="shared" si="10"/>
        <v>3.9125904029352223</v>
      </c>
      <c r="Z27" s="4">
        <f t="shared" si="10"/>
        <v>3.9945181390182953</v>
      </c>
    </row>
    <row r="28" spans="1:26" s="11" customFormat="1" ht="12.75">
      <c r="A28" s="51" t="s">
        <v>22</v>
      </c>
      <c r="B28" s="4">
        <f>-B22*B27-B20*B25</f>
        <v>-3.9945181390182953</v>
      </c>
      <c r="C28" s="4">
        <f aca="true" t="shared" si="11" ref="C28:Z28">-C22*C27-C20*C25</f>
        <v>-3.804226065180614</v>
      </c>
      <c r="D28" s="4">
        <f t="shared" si="11"/>
        <v>-3.354682271781696</v>
      </c>
      <c r="E28" s="4">
        <f t="shared" si="11"/>
        <v>-2.676522425435433</v>
      </c>
      <c r="F28" s="4">
        <f t="shared" si="11"/>
        <v>-1.8159619989581874</v>
      </c>
      <c r="G28" s="4">
        <f t="shared" si="11"/>
        <v>-0.8316467632710373</v>
      </c>
      <c r="H28" s="4">
        <f t="shared" si="11"/>
        <v>0.2093438249717751</v>
      </c>
      <c r="I28" s="4">
        <f t="shared" si="11"/>
        <v>1.23606797749979</v>
      </c>
      <c r="J28" s="4">
        <f t="shared" si="11"/>
        <v>2.1785561400601074</v>
      </c>
      <c r="K28" s="4">
        <f t="shared" si="11"/>
        <v>2.9725793019095765</v>
      </c>
      <c r="L28" s="4">
        <f t="shared" si="11"/>
        <v>3.564026096753471</v>
      </c>
      <c r="M28" s="4">
        <f t="shared" si="11"/>
        <v>3.912590402935222</v>
      </c>
      <c r="N28" s="4">
        <f t="shared" si="11"/>
        <v>3.9945181390182953</v>
      </c>
      <c r="O28" s="4">
        <f t="shared" si="11"/>
        <v>3.804226065180614</v>
      </c>
      <c r="P28" s="4">
        <f t="shared" si="11"/>
        <v>3.3546822717816953</v>
      </c>
      <c r="Q28" s="4">
        <f t="shared" si="11"/>
        <v>2.6765224254354334</v>
      </c>
      <c r="R28" s="4">
        <f t="shared" si="11"/>
        <v>1.815961998958189</v>
      </c>
      <c r="S28" s="4">
        <f t="shared" si="11"/>
        <v>0.8316467632710368</v>
      </c>
      <c r="T28" s="4">
        <f t="shared" si="11"/>
        <v>-0.20934382497177462</v>
      </c>
      <c r="U28" s="4">
        <f t="shared" si="11"/>
        <v>-1.236067977499788</v>
      </c>
      <c r="V28" s="4">
        <f t="shared" si="11"/>
        <v>-2.178556140060109</v>
      </c>
      <c r="W28" s="4">
        <f t="shared" si="11"/>
        <v>-2.972579301909576</v>
      </c>
      <c r="X28" s="4">
        <f t="shared" si="11"/>
        <v>-3.5640260967534703</v>
      </c>
      <c r="Y28" s="4">
        <f t="shared" si="11"/>
        <v>-3.9125904029352223</v>
      </c>
      <c r="Z28" s="4">
        <f t="shared" si="11"/>
        <v>-3.9945181390182953</v>
      </c>
    </row>
    <row r="29" spans="1:26" s="11" customFormat="1" ht="13.5" thickBot="1">
      <c r="A29" s="52" t="s">
        <v>21</v>
      </c>
      <c r="B29" s="5">
        <f>$F$8*B26+$F$9*B24</f>
        <v>-0.20934382497177534</v>
      </c>
      <c r="C29" s="5">
        <f aca="true" t="shared" si="12" ref="C29:Z29">$F$8*C26+$F$9*C24</f>
        <v>-1.2360679774997896</v>
      </c>
      <c r="D29" s="5">
        <f t="shared" si="12"/>
        <v>-2.178556140060108</v>
      </c>
      <c r="E29" s="5">
        <f t="shared" si="12"/>
        <v>-2.9725793019095765</v>
      </c>
      <c r="F29" s="5">
        <f t="shared" si="12"/>
        <v>-3.564026096753471</v>
      </c>
      <c r="G29" s="5">
        <f t="shared" si="12"/>
        <v>-3.9125904029352223</v>
      </c>
      <c r="H29" s="5">
        <f t="shared" si="12"/>
        <v>-3.9945181390182953</v>
      </c>
      <c r="I29" s="5">
        <f t="shared" si="12"/>
        <v>-3.804226065180614</v>
      </c>
      <c r="J29" s="5">
        <f t="shared" si="12"/>
        <v>-3.354682271781696</v>
      </c>
      <c r="K29" s="5">
        <f t="shared" si="12"/>
        <v>-2.676522425435433</v>
      </c>
      <c r="L29" s="5">
        <f t="shared" si="12"/>
        <v>-1.8159619989581868</v>
      </c>
      <c r="M29" s="5">
        <f t="shared" si="12"/>
        <v>-0.8316467632710385</v>
      </c>
      <c r="N29" s="5">
        <f t="shared" si="12"/>
        <v>0.20934382497177484</v>
      </c>
      <c r="O29" s="5">
        <f t="shared" si="12"/>
        <v>1.2360679774997898</v>
      </c>
      <c r="P29" s="5">
        <f t="shared" si="12"/>
        <v>2.178556140060109</v>
      </c>
      <c r="Q29" s="5">
        <f t="shared" si="12"/>
        <v>2.9725793019095765</v>
      </c>
      <c r="R29" s="5">
        <f t="shared" si="12"/>
        <v>3.5640260967534703</v>
      </c>
      <c r="S29" s="5">
        <f t="shared" si="12"/>
        <v>3.9125904029352223</v>
      </c>
      <c r="T29" s="5">
        <f t="shared" si="12"/>
        <v>3.9945181390182953</v>
      </c>
      <c r="U29" s="5">
        <f t="shared" si="12"/>
        <v>3.8042260651806146</v>
      </c>
      <c r="V29" s="5">
        <f t="shared" si="12"/>
        <v>3.3546822717816953</v>
      </c>
      <c r="W29" s="5">
        <f t="shared" si="12"/>
        <v>2.6765224254354334</v>
      </c>
      <c r="X29" s="5">
        <f t="shared" si="12"/>
        <v>1.815961998958189</v>
      </c>
      <c r="Y29" s="5">
        <f t="shared" si="12"/>
        <v>0.831646763271037</v>
      </c>
      <c r="Z29" s="5">
        <f t="shared" si="12"/>
        <v>-0.20934382497177437</v>
      </c>
    </row>
    <row r="30" spans="1:13" s="11" customFormat="1" ht="16.5" thickBot="1">
      <c r="A30" s="57"/>
      <c r="B30" s="25"/>
      <c r="C30" s="25"/>
      <c r="D30" s="25"/>
      <c r="E30" s="25"/>
      <c r="F30" s="58"/>
      <c r="G30" s="58" t="s">
        <v>9</v>
      </c>
      <c r="H30" s="58"/>
      <c r="I30" s="25"/>
      <c r="J30" s="25"/>
      <c r="K30" s="25"/>
      <c r="L30" s="25"/>
      <c r="M30" s="26"/>
    </row>
    <row r="31" spans="1:26" s="11" customFormat="1" ht="12.75">
      <c r="A31" s="50" t="s">
        <v>34</v>
      </c>
      <c r="B31" s="3">
        <f aca="true" t="shared" si="13" ref="B31:Z31">$B$10*B18-$D$10*B19</f>
        <v>3</v>
      </c>
      <c r="C31" s="3">
        <f t="shared" si="13"/>
        <v>2.58719462474418</v>
      </c>
      <c r="D31" s="3">
        <f t="shared" si="13"/>
        <v>1.9980762113533161</v>
      </c>
      <c r="E31" s="3">
        <f t="shared" si="13"/>
        <v>1.272792206135786</v>
      </c>
      <c r="F31" s="3">
        <f t="shared" si="13"/>
        <v>0.4607695154586742</v>
      </c>
      <c r="G31" s="3">
        <f t="shared" si="13"/>
        <v>-0.3826538562393198</v>
      </c>
      <c r="H31" s="3">
        <f t="shared" si="13"/>
        <v>-1.1999999999999997</v>
      </c>
      <c r="I31" s="3">
        <f t="shared" si="13"/>
        <v>-1.9355681268544447</v>
      </c>
      <c r="J31" s="3">
        <f t="shared" si="13"/>
        <v>-2.539230484541326</v>
      </c>
      <c r="K31" s="3">
        <f t="shared" si="13"/>
        <v>-2.9698484809834995</v>
      </c>
      <c r="L31" s="3">
        <f t="shared" si="13"/>
        <v>-3.1980762113533157</v>
      </c>
      <c r="M31" s="6">
        <f t="shared" si="13"/>
        <v>-3.20836033299023</v>
      </c>
      <c r="N31" s="11">
        <f t="shared" si="13"/>
        <v>-3</v>
      </c>
      <c r="O31" s="11">
        <f t="shared" si="13"/>
        <v>-2.58719462474418</v>
      </c>
      <c r="P31" s="11">
        <f t="shared" si="13"/>
        <v>-1.998076211353316</v>
      </c>
      <c r="Q31" s="11">
        <f t="shared" si="13"/>
        <v>-1.272792206135786</v>
      </c>
      <c r="R31" s="11">
        <f t="shared" si="13"/>
        <v>-0.4607695154586753</v>
      </c>
      <c r="S31" s="11">
        <f t="shared" si="13"/>
        <v>0.38265385623932013</v>
      </c>
      <c r="T31" s="11">
        <f t="shared" si="13"/>
        <v>1.1999999999999995</v>
      </c>
      <c r="U31" s="11">
        <f t="shared" si="13"/>
        <v>1.935568126854443</v>
      </c>
      <c r="V31" s="11">
        <f t="shared" si="13"/>
        <v>2.539230484541327</v>
      </c>
      <c r="W31" s="11">
        <f t="shared" si="13"/>
        <v>2.969848480983499</v>
      </c>
      <c r="X31" s="11">
        <f t="shared" si="13"/>
        <v>3.1980762113533157</v>
      </c>
      <c r="Y31" s="11">
        <f t="shared" si="13"/>
        <v>3.20836033299023</v>
      </c>
      <c r="Z31" s="11">
        <f t="shared" si="13"/>
        <v>3.0000000000000004</v>
      </c>
    </row>
    <row r="32" spans="1:26" s="11" customFormat="1" ht="12.75">
      <c r="A32" s="51" t="s">
        <v>24</v>
      </c>
      <c r="B32" s="4">
        <f aca="true" t="shared" si="14" ref="B32:Z32">$B$10*B19+$D$10*B18</f>
        <v>1.2</v>
      </c>
      <c r="C32" s="4">
        <f t="shared" si="14"/>
        <v>1.9355681268544442</v>
      </c>
      <c r="D32" s="4">
        <f t="shared" si="14"/>
        <v>2.539230484541326</v>
      </c>
      <c r="E32" s="4">
        <f t="shared" si="14"/>
        <v>2.9698484809834995</v>
      </c>
      <c r="F32" s="4">
        <f t="shared" si="14"/>
        <v>3.198076211353316</v>
      </c>
      <c r="G32" s="4">
        <f t="shared" si="14"/>
        <v>3.20836033299023</v>
      </c>
      <c r="H32" s="4">
        <f t="shared" si="14"/>
        <v>3</v>
      </c>
      <c r="I32" s="4">
        <f t="shared" si="14"/>
        <v>2.58719462474418</v>
      </c>
      <c r="J32" s="4">
        <f t="shared" si="14"/>
        <v>1.9980762113533164</v>
      </c>
      <c r="K32" s="4">
        <f t="shared" si="14"/>
        <v>1.272792206135786</v>
      </c>
      <c r="L32" s="4">
        <f t="shared" si="14"/>
        <v>0.4607695154586733</v>
      </c>
      <c r="M32" s="8">
        <f t="shared" si="14"/>
        <v>-0.3826538562393187</v>
      </c>
      <c r="N32" s="11">
        <f t="shared" si="14"/>
        <v>-1.1999999999999995</v>
      </c>
      <c r="O32" s="11">
        <f t="shared" si="14"/>
        <v>-1.9355681268544445</v>
      </c>
      <c r="P32" s="11">
        <f t="shared" si="14"/>
        <v>-2.539230484541327</v>
      </c>
      <c r="Q32" s="11">
        <f t="shared" si="14"/>
        <v>-2.9698484809834995</v>
      </c>
      <c r="R32" s="11">
        <f t="shared" si="14"/>
        <v>-3.1980762113533157</v>
      </c>
      <c r="S32" s="11">
        <f t="shared" si="14"/>
        <v>-3.20836033299023</v>
      </c>
      <c r="T32" s="11">
        <f t="shared" si="14"/>
        <v>-3</v>
      </c>
      <c r="U32" s="11">
        <f t="shared" si="14"/>
        <v>-2.5871946247441806</v>
      </c>
      <c r="V32" s="11">
        <f t="shared" si="14"/>
        <v>-1.998076211353316</v>
      </c>
      <c r="W32" s="11">
        <f t="shared" si="14"/>
        <v>-1.2727922061357861</v>
      </c>
      <c r="X32" s="11">
        <f t="shared" si="14"/>
        <v>-0.4607695154586753</v>
      </c>
      <c r="Y32" s="11">
        <f t="shared" si="14"/>
        <v>0.38265385623932</v>
      </c>
      <c r="Z32" s="11">
        <f t="shared" si="14"/>
        <v>1.1999999999999993</v>
      </c>
    </row>
    <row r="33" spans="1:26" s="11" customFormat="1" ht="12.75">
      <c r="A33" s="51" t="s">
        <v>23</v>
      </c>
      <c r="B33" s="4">
        <f>-B22*B32</f>
        <v>-1.2</v>
      </c>
      <c r="C33" s="4">
        <f aca="true" t="shared" si="15" ref="C33:I33">-C22*C32</f>
        <v>-1.9355681268544442</v>
      </c>
      <c r="D33" s="4">
        <f t="shared" si="15"/>
        <v>-2.539230484541326</v>
      </c>
      <c r="E33" s="4">
        <f t="shared" si="15"/>
        <v>-2.9698484809834995</v>
      </c>
      <c r="F33" s="4">
        <f t="shared" si="15"/>
        <v>-3.198076211353316</v>
      </c>
      <c r="G33" s="4">
        <f t="shared" si="15"/>
        <v>-3.20836033299023</v>
      </c>
      <c r="H33" s="4">
        <f t="shared" si="15"/>
        <v>-3</v>
      </c>
      <c r="I33" s="4">
        <f t="shared" si="15"/>
        <v>-2.58719462474418</v>
      </c>
      <c r="J33" s="4">
        <f aca="true" t="shared" si="16" ref="J33:Z33">-J22*J32</f>
        <v>-1.9980762113533164</v>
      </c>
      <c r="K33" s="4">
        <f t="shared" si="16"/>
        <v>-1.272792206135786</v>
      </c>
      <c r="L33" s="4">
        <f t="shared" si="16"/>
        <v>-0.4607695154586733</v>
      </c>
      <c r="M33" s="4">
        <f t="shared" si="16"/>
        <v>0.3826538562393187</v>
      </c>
      <c r="N33" s="4">
        <f t="shared" si="16"/>
        <v>1.1999999999999995</v>
      </c>
      <c r="O33" s="4">
        <f t="shared" si="16"/>
        <v>1.9355681268544445</v>
      </c>
      <c r="P33" s="4">
        <f t="shared" si="16"/>
        <v>2.539230484541327</v>
      </c>
      <c r="Q33" s="4">
        <f t="shared" si="16"/>
        <v>2.9698484809834995</v>
      </c>
      <c r="R33" s="4">
        <f t="shared" si="16"/>
        <v>3.1980762113533157</v>
      </c>
      <c r="S33" s="4">
        <f t="shared" si="16"/>
        <v>3.20836033299023</v>
      </c>
      <c r="T33" s="4">
        <f t="shared" si="16"/>
        <v>3</v>
      </c>
      <c r="U33" s="4">
        <f t="shared" si="16"/>
        <v>2.5871946247441806</v>
      </c>
      <c r="V33" s="4">
        <f t="shared" si="16"/>
        <v>1.998076211353316</v>
      </c>
      <c r="W33" s="4">
        <f t="shared" si="16"/>
        <v>1.2727922061357861</v>
      </c>
      <c r="X33" s="4">
        <f t="shared" si="16"/>
        <v>0.4607695154586753</v>
      </c>
      <c r="Y33" s="4">
        <f t="shared" si="16"/>
        <v>-0.38265385623932</v>
      </c>
      <c r="Z33" s="4">
        <f t="shared" si="16"/>
        <v>-1.1999999999999993</v>
      </c>
    </row>
    <row r="34" spans="1:26" s="11" customFormat="1" ht="12.75">
      <c r="A34" s="51" t="s">
        <v>33</v>
      </c>
      <c r="B34" s="4">
        <f>B22*B31</f>
        <v>3</v>
      </c>
      <c r="C34" s="4">
        <f aca="true" t="shared" si="17" ref="C34:I34">C22*C31</f>
        <v>2.58719462474418</v>
      </c>
      <c r="D34" s="4">
        <f t="shared" si="17"/>
        <v>1.9980762113533161</v>
      </c>
      <c r="E34" s="4">
        <f t="shared" si="17"/>
        <v>1.272792206135786</v>
      </c>
      <c r="F34" s="4">
        <f t="shared" si="17"/>
        <v>0.4607695154586742</v>
      </c>
      <c r="G34" s="4">
        <f t="shared" si="17"/>
        <v>-0.3826538562393198</v>
      </c>
      <c r="H34" s="4">
        <f t="shared" si="17"/>
        <v>-1.1999999999999997</v>
      </c>
      <c r="I34" s="4">
        <f t="shared" si="17"/>
        <v>-1.9355681268544447</v>
      </c>
      <c r="J34" s="4">
        <f aca="true" t="shared" si="18" ref="J34:Z34">J22*J31</f>
        <v>-2.539230484541326</v>
      </c>
      <c r="K34" s="4">
        <f t="shared" si="18"/>
        <v>-2.9698484809834995</v>
      </c>
      <c r="L34" s="4">
        <f t="shared" si="18"/>
        <v>-3.1980762113533157</v>
      </c>
      <c r="M34" s="4">
        <f t="shared" si="18"/>
        <v>-3.20836033299023</v>
      </c>
      <c r="N34" s="4">
        <f t="shared" si="18"/>
        <v>-3</v>
      </c>
      <c r="O34" s="4">
        <f t="shared" si="18"/>
        <v>-2.58719462474418</v>
      </c>
      <c r="P34" s="4">
        <f t="shared" si="18"/>
        <v>-1.998076211353316</v>
      </c>
      <c r="Q34" s="4">
        <f t="shared" si="18"/>
        <v>-1.272792206135786</v>
      </c>
      <c r="R34" s="4">
        <f t="shared" si="18"/>
        <v>-0.4607695154586753</v>
      </c>
      <c r="S34" s="4">
        <f t="shared" si="18"/>
        <v>0.38265385623932013</v>
      </c>
      <c r="T34" s="4">
        <f t="shared" si="18"/>
        <v>1.1999999999999995</v>
      </c>
      <c r="U34" s="4">
        <f t="shared" si="18"/>
        <v>1.935568126854443</v>
      </c>
      <c r="V34" s="4">
        <f t="shared" si="18"/>
        <v>2.539230484541327</v>
      </c>
      <c r="W34" s="4">
        <f t="shared" si="18"/>
        <v>2.969848480983499</v>
      </c>
      <c r="X34" s="4">
        <f t="shared" si="18"/>
        <v>3.1980762113533157</v>
      </c>
      <c r="Y34" s="4">
        <f t="shared" si="18"/>
        <v>3.20836033299023</v>
      </c>
      <c r="Z34" s="4">
        <f t="shared" si="18"/>
        <v>3.0000000000000004</v>
      </c>
    </row>
    <row r="35" spans="1:26" s="11" customFormat="1" ht="12.75">
      <c r="A35" s="51" t="s">
        <v>22</v>
      </c>
      <c r="B35" s="4">
        <f>-B22*B34-B20*B32</f>
        <v>-3</v>
      </c>
      <c r="C35" s="4">
        <f aca="true" t="shared" si="19" ref="C35:I35">-C22*C34-C20*C32</f>
        <v>-2.58719462474418</v>
      </c>
      <c r="D35" s="4">
        <f t="shared" si="19"/>
        <v>-1.9980762113533161</v>
      </c>
      <c r="E35" s="4">
        <f t="shared" si="19"/>
        <v>-1.272792206135786</v>
      </c>
      <c r="F35" s="4">
        <f t="shared" si="19"/>
        <v>-0.4607695154586742</v>
      </c>
      <c r="G35" s="4">
        <f t="shared" si="19"/>
        <v>0.3826538562393198</v>
      </c>
      <c r="H35" s="4">
        <f t="shared" si="19"/>
        <v>1.1999999999999997</v>
      </c>
      <c r="I35" s="4">
        <f t="shared" si="19"/>
        <v>1.9355681268544447</v>
      </c>
      <c r="J35" s="4">
        <f aca="true" t="shared" si="20" ref="J35:Z35">-J22*J34-J20*J32</f>
        <v>2.539230484541326</v>
      </c>
      <c r="K35" s="4">
        <f t="shared" si="20"/>
        <v>2.9698484809834995</v>
      </c>
      <c r="L35" s="4">
        <f t="shared" si="20"/>
        <v>3.1980762113533157</v>
      </c>
      <c r="M35" s="4">
        <f t="shared" si="20"/>
        <v>3.20836033299023</v>
      </c>
      <c r="N35" s="4">
        <f t="shared" si="20"/>
        <v>3</v>
      </c>
      <c r="O35" s="4">
        <f t="shared" si="20"/>
        <v>2.58719462474418</v>
      </c>
      <c r="P35" s="4">
        <f t="shared" si="20"/>
        <v>1.998076211353316</v>
      </c>
      <c r="Q35" s="4">
        <f t="shared" si="20"/>
        <v>1.272792206135786</v>
      </c>
      <c r="R35" s="4">
        <f t="shared" si="20"/>
        <v>0.4607695154586753</v>
      </c>
      <c r="S35" s="4">
        <f t="shared" si="20"/>
        <v>-0.38265385623932013</v>
      </c>
      <c r="T35" s="4">
        <f t="shared" si="20"/>
        <v>-1.1999999999999995</v>
      </c>
      <c r="U35" s="4">
        <f t="shared" si="20"/>
        <v>-1.935568126854443</v>
      </c>
      <c r="V35" s="4">
        <f t="shared" si="20"/>
        <v>-2.539230484541327</v>
      </c>
      <c r="W35" s="4">
        <f t="shared" si="20"/>
        <v>-2.969848480983499</v>
      </c>
      <c r="X35" s="4">
        <f t="shared" si="20"/>
        <v>-3.1980762113533157</v>
      </c>
      <c r="Y35" s="4">
        <f t="shared" si="20"/>
        <v>-3.20836033299023</v>
      </c>
      <c r="Z35" s="4">
        <f t="shared" si="20"/>
        <v>-3.0000000000000004</v>
      </c>
    </row>
    <row r="36" spans="1:26" s="11" customFormat="1" ht="13.5" thickBot="1">
      <c r="A36" s="52" t="s">
        <v>21</v>
      </c>
      <c r="B36" s="5">
        <f>B22*B33+B20*B31</f>
        <v>-1.2</v>
      </c>
      <c r="C36" s="5">
        <f aca="true" t="shared" si="21" ref="C36:I36">C22*C33+C20*C31</f>
        <v>-1.9355681268544442</v>
      </c>
      <c r="D36" s="5">
        <f t="shared" si="21"/>
        <v>-2.539230484541326</v>
      </c>
      <c r="E36" s="5">
        <f t="shared" si="21"/>
        <v>-2.9698484809834995</v>
      </c>
      <c r="F36" s="5">
        <f t="shared" si="21"/>
        <v>-3.198076211353316</v>
      </c>
      <c r="G36" s="5">
        <f t="shared" si="21"/>
        <v>-3.20836033299023</v>
      </c>
      <c r="H36" s="5">
        <f t="shared" si="21"/>
        <v>-3</v>
      </c>
      <c r="I36" s="5">
        <f t="shared" si="21"/>
        <v>-2.58719462474418</v>
      </c>
      <c r="J36" s="5">
        <f aca="true" t="shared" si="22" ref="J36:Z36">J22*J33+J20*J31</f>
        <v>-1.9980762113533164</v>
      </c>
      <c r="K36" s="5">
        <f t="shared" si="22"/>
        <v>-1.272792206135786</v>
      </c>
      <c r="L36" s="5">
        <f t="shared" si="22"/>
        <v>-0.4607695154586733</v>
      </c>
      <c r="M36" s="5">
        <f t="shared" si="22"/>
        <v>0.3826538562393187</v>
      </c>
      <c r="N36" s="5">
        <f t="shared" si="22"/>
        <v>1.1999999999999995</v>
      </c>
      <c r="O36" s="5">
        <f t="shared" si="22"/>
        <v>1.9355681268544445</v>
      </c>
      <c r="P36" s="5">
        <f t="shared" si="22"/>
        <v>2.539230484541327</v>
      </c>
      <c r="Q36" s="5">
        <f t="shared" si="22"/>
        <v>2.9698484809834995</v>
      </c>
      <c r="R36" s="5">
        <f t="shared" si="22"/>
        <v>3.1980762113533157</v>
      </c>
      <c r="S36" s="5">
        <f t="shared" si="22"/>
        <v>3.20836033299023</v>
      </c>
      <c r="T36" s="5">
        <f t="shared" si="22"/>
        <v>3</v>
      </c>
      <c r="U36" s="5">
        <f t="shared" si="22"/>
        <v>2.5871946247441806</v>
      </c>
      <c r="V36" s="5">
        <f t="shared" si="22"/>
        <v>1.998076211353316</v>
      </c>
      <c r="W36" s="5">
        <f t="shared" si="22"/>
        <v>1.2727922061357861</v>
      </c>
      <c r="X36" s="5">
        <f t="shared" si="22"/>
        <v>0.4607695154586753</v>
      </c>
      <c r="Y36" s="5">
        <f t="shared" si="22"/>
        <v>-0.38265385623932</v>
      </c>
      <c r="Z36" s="5">
        <f t="shared" si="22"/>
        <v>-1.1999999999999993</v>
      </c>
    </row>
    <row r="37" spans="1:26" s="11" customFormat="1" ht="12.75">
      <c r="A37" s="50" t="s">
        <v>36</v>
      </c>
      <c r="B37" s="3">
        <f>1/2*$D$4*(B33^2+B34^2)+1/2*$B$13*B22^2</f>
        <v>53.699999999999996</v>
      </c>
      <c r="C37" s="3">
        <f aca="true" t="shared" si="23" ref="C37:Z37">1/2*$D$4*(C33^2+C34^2)+1/2*$B$13*C22^2</f>
        <v>53.7</v>
      </c>
      <c r="D37" s="3">
        <f t="shared" si="23"/>
        <v>53.699999999999996</v>
      </c>
      <c r="E37" s="3">
        <f t="shared" si="23"/>
        <v>53.7</v>
      </c>
      <c r="F37" s="3">
        <f t="shared" si="23"/>
        <v>53.7</v>
      </c>
      <c r="G37" s="3">
        <f t="shared" si="23"/>
        <v>53.699999999999996</v>
      </c>
      <c r="H37" s="3">
        <f t="shared" si="23"/>
        <v>53.699999999999996</v>
      </c>
      <c r="I37" s="3">
        <f t="shared" si="23"/>
        <v>53.70000000000002</v>
      </c>
      <c r="J37" s="3">
        <f t="shared" si="23"/>
        <v>53.699999999999996</v>
      </c>
      <c r="K37" s="3">
        <f t="shared" si="23"/>
        <v>53.7</v>
      </c>
      <c r="L37" s="3">
        <f t="shared" si="23"/>
        <v>53.69999999999999</v>
      </c>
      <c r="M37" s="3">
        <f t="shared" si="23"/>
        <v>53.699999999999996</v>
      </c>
      <c r="N37" s="3">
        <f t="shared" si="23"/>
        <v>53.699999999999996</v>
      </c>
      <c r="O37" s="3">
        <f t="shared" si="23"/>
        <v>53.7</v>
      </c>
      <c r="P37" s="3">
        <f t="shared" si="23"/>
        <v>53.70000000000002</v>
      </c>
      <c r="Q37" s="3">
        <f t="shared" si="23"/>
        <v>53.7</v>
      </c>
      <c r="R37" s="3">
        <f t="shared" si="23"/>
        <v>53.699999999999996</v>
      </c>
      <c r="S37" s="3">
        <f t="shared" si="23"/>
        <v>53.7</v>
      </c>
      <c r="T37" s="3">
        <f t="shared" si="23"/>
        <v>53.699999999999996</v>
      </c>
      <c r="U37" s="3">
        <f t="shared" si="23"/>
        <v>53.69999999999999</v>
      </c>
      <c r="V37" s="3">
        <f t="shared" si="23"/>
        <v>53.70000000000002</v>
      </c>
      <c r="W37" s="3">
        <f t="shared" si="23"/>
        <v>53.69999999999999</v>
      </c>
      <c r="X37" s="3">
        <f t="shared" si="23"/>
        <v>53.699999999999996</v>
      </c>
      <c r="Y37" s="3">
        <f t="shared" si="23"/>
        <v>53.7</v>
      </c>
      <c r="Z37" s="3">
        <f t="shared" si="23"/>
        <v>53.7</v>
      </c>
    </row>
    <row r="38" spans="1:26" s="11" customFormat="1" ht="15.75">
      <c r="A38" s="1" t="s">
        <v>37</v>
      </c>
      <c r="B38" s="4">
        <f>$D$4*B35</f>
        <v>-30</v>
      </c>
      <c r="C38" s="4">
        <f aca="true" t="shared" si="24" ref="C38:Z38">$D$4*C35</f>
        <v>-25.8719462474418</v>
      </c>
      <c r="D38" s="4">
        <f t="shared" si="24"/>
        <v>-19.98076211353316</v>
      </c>
      <c r="E38" s="4">
        <f t="shared" si="24"/>
        <v>-12.727922061357859</v>
      </c>
      <c r="F38" s="4">
        <f t="shared" si="24"/>
        <v>-4.607695154586741</v>
      </c>
      <c r="G38" s="4">
        <f t="shared" si="24"/>
        <v>3.826538562393198</v>
      </c>
      <c r="H38" s="4">
        <f t="shared" si="24"/>
        <v>11.999999999999996</v>
      </c>
      <c r="I38" s="4">
        <f t="shared" si="24"/>
        <v>19.355681268544448</v>
      </c>
      <c r="J38" s="4">
        <f t="shared" si="24"/>
        <v>25.39230484541326</v>
      </c>
      <c r="K38" s="4">
        <f t="shared" si="24"/>
        <v>29.698484809834994</v>
      </c>
      <c r="L38" s="4">
        <f t="shared" si="24"/>
        <v>31.980762113533157</v>
      </c>
      <c r="M38" s="8">
        <f t="shared" si="24"/>
        <v>32.0836033299023</v>
      </c>
      <c r="N38" s="7">
        <f t="shared" si="24"/>
        <v>30</v>
      </c>
      <c r="O38" s="7">
        <f t="shared" si="24"/>
        <v>25.8719462474418</v>
      </c>
      <c r="P38" s="7">
        <f t="shared" si="24"/>
        <v>19.98076211353316</v>
      </c>
      <c r="Q38" s="7">
        <f t="shared" si="24"/>
        <v>12.727922061357859</v>
      </c>
      <c r="R38" s="7">
        <f t="shared" si="24"/>
        <v>4.607695154586753</v>
      </c>
      <c r="S38" s="7">
        <f t="shared" si="24"/>
        <v>-3.8265385623932016</v>
      </c>
      <c r="T38" s="7">
        <f t="shared" si="24"/>
        <v>-11.999999999999995</v>
      </c>
      <c r="U38" s="7">
        <f t="shared" si="24"/>
        <v>-19.35568126854443</v>
      </c>
      <c r="V38" s="7">
        <f t="shared" si="24"/>
        <v>-25.39230484541327</v>
      </c>
      <c r="W38" s="7">
        <f t="shared" si="24"/>
        <v>-29.69848480983499</v>
      </c>
      <c r="X38" s="7">
        <f t="shared" si="24"/>
        <v>-31.980762113533157</v>
      </c>
      <c r="Y38" s="7">
        <f t="shared" si="24"/>
        <v>-32.0836033299023</v>
      </c>
      <c r="Z38" s="7">
        <f t="shared" si="24"/>
        <v>-30.000000000000004</v>
      </c>
    </row>
    <row r="39" spans="1:26" s="11" customFormat="1" ht="15.75">
      <c r="A39" s="1" t="s">
        <v>38</v>
      </c>
      <c r="B39" s="4">
        <f>$D$4*B36</f>
        <v>-12</v>
      </c>
      <c r="C39" s="4">
        <f aca="true" t="shared" si="25" ref="C39:Z39">$D$4*C36</f>
        <v>-19.355681268544444</v>
      </c>
      <c r="D39" s="4">
        <f t="shared" si="25"/>
        <v>-25.39230484541326</v>
      </c>
      <c r="E39" s="4">
        <f t="shared" si="25"/>
        <v>-29.698484809834994</v>
      </c>
      <c r="F39" s="4">
        <f t="shared" si="25"/>
        <v>-31.98076211353316</v>
      </c>
      <c r="G39" s="4">
        <f t="shared" si="25"/>
        <v>-32.0836033299023</v>
      </c>
      <c r="H39" s="4">
        <f t="shared" si="25"/>
        <v>-30</v>
      </c>
      <c r="I39" s="4">
        <f t="shared" si="25"/>
        <v>-25.8719462474418</v>
      </c>
      <c r="J39" s="4">
        <f t="shared" si="25"/>
        <v>-19.980762113533164</v>
      </c>
      <c r="K39" s="4">
        <f t="shared" si="25"/>
        <v>-12.727922061357859</v>
      </c>
      <c r="L39" s="4">
        <f t="shared" si="25"/>
        <v>-4.607695154586732</v>
      </c>
      <c r="M39" s="8">
        <f t="shared" si="25"/>
        <v>3.826538562393187</v>
      </c>
      <c r="N39" s="7">
        <f t="shared" si="25"/>
        <v>11.999999999999995</v>
      </c>
      <c r="O39" s="7">
        <f t="shared" si="25"/>
        <v>19.355681268544444</v>
      </c>
      <c r="P39" s="7">
        <f t="shared" si="25"/>
        <v>25.39230484541327</v>
      </c>
      <c r="Q39" s="7">
        <f t="shared" si="25"/>
        <v>29.698484809834994</v>
      </c>
      <c r="R39" s="7">
        <f t="shared" si="25"/>
        <v>31.980762113533157</v>
      </c>
      <c r="S39" s="7">
        <f t="shared" si="25"/>
        <v>32.0836033299023</v>
      </c>
      <c r="T39" s="7">
        <f t="shared" si="25"/>
        <v>30</v>
      </c>
      <c r="U39" s="7">
        <f t="shared" si="25"/>
        <v>25.871946247441805</v>
      </c>
      <c r="V39" s="7">
        <f t="shared" si="25"/>
        <v>19.98076211353316</v>
      </c>
      <c r="W39" s="7">
        <f t="shared" si="25"/>
        <v>12.727922061357862</v>
      </c>
      <c r="X39" s="7">
        <f t="shared" si="25"/>
        <v>4.607695154586753</v>
      </c>
      <c r="Y39" s="7">
        <f t="shared" si="25"/>
        <v>-3.8265385623932002</v>
      </c>
      <c r="Z39" s="7">
        <f t="shared" si="25"/>
        <v>-11.999999999999993</v>
      </c>
    </row>
    <row r="40" spans="1:26" s="11" customFormat="1" ht="16.5" thickBot="1">
      <c r="A40" s="2" t="s">
        <v>39</v>
      </c>
      <c r="B40" s="5">
        <f>$B$13*B20</f>
        <v>0</v>
      </c>
      <c r="C40" s="5">
        <f aca="true" t="shared" si="26" ref="C40:Z40">$B$13*C20</f>
        <v>0</v>
      </c>
      <c r="D40" s="5">
        <f t="shared" si="26"/>
        <v>0</v>
      </c>
      <c r="E40" s="5">
        <f t="shared" si="26"/>
        <v>0</v>
      </c>
      <c r="F40" s="5">
        <f t="shared" si="26"/>
        <v>0</v>
      </c>
      <c r="G40" s="5">
        <f t="shared" si="26"/>
        <v>0</v>
      </c>
      <c r="H40" s="5">
        <f t="shared" si="26"/>
        <v>0</v>
      </c>
      <c r="I40" s="5">
        <f t="shared" si="26"/>
        <v>0</v>
      </c>
      <c r="J40" s="5">
        <f t="shared" si="26"/>
        <v>0</v>
      </c>
      <c r="K40" s="5">
        <f t="shared" si="26"/>
        <v>0</v>
      </c>
      <c r="L40" s="5">
        <f t="shared" si="26"/>
        <v>0</v>
      </c>
      <c r="M40" s="5">
        <f t="shared" si="26"/>
        <v>0</v>
      </c>
      <c r="N40" s="5">
        <f t="shared" si="26"/>
        <v>0</v>
      </c>
      <c r="O40" s="5">
        <f t="shared" si="26"/>
        <v>0</v>
      </c>
      <c r="P40" s="5">
        <f t="shared" si="26"/>
        <v>0</v>
      </c>
      <c r="Q40" s="5">
        <f t="shared" si="26"/>
        <v>0</v>
      </c>
      <c r="R40" s="5">
        <f t="shared" si="26"/>
        <v>0</v>
      </c>
      <c r="S40" s="5">
        <f t="shared" si="26"/>
        <v>0</v>
      </c>
      <c r="T40" s="5">
        <f t="shared" si="26"/>
        <v>0</v>
      </c>
      <c r="U40" s="5">
        <f t="shared" si="26"/>
        <v>0</v>
      </c>
      <c r="V40" s="5">
        <f t="shared" si="26"/>
        <v>0</v>
      </c>
      <c r="W40" s="5">
        <f t="shared" si="26"/>
        <v>0</v>
      </c>
      <c r="X40" s="5">
        <f t="shared" si="26"/>
        <v>0</v>
      </c>
      <c r="Y40" s="5">
        <f t="shared" si="26"/>
        <v>0</v>
      </c>
      <c r="Z40" s="5">
        <f t="shared" si="26"/>
        <v>0</v>
      </c>
    </row>
    <row r="41" spans="1:13" s="11" customFormat="1" ht="16.5" thickBot="1">
      <c r="A41" s="53"/>
      <c r="B41" s="54"/>
      <c r="C41" s="54"/>
      <c r="D41" s="54"/>
      <c r="E41" s="55"/>
      <c r="F41" s="55"/>
      <c r="G41" s="55" t="s">
        <v>5</v>
      </c>
      <c r="H41" s="59"/>
      <c r="I41" s="54"/>
      <c r="J41" s="54"/>
      <c r="K41" s="54"/>
      <c r="L41" s="54"/>
      <c r="M41" s="56"/>
    </row>
    <row r="42" spans="1:26" s="11" customFormat="1" ht="12.75">
      <c r="A42" s="50" t="s">
        <v>40</v>
      </c>
      <c r="B42" s="3">
        <f>$F$4-$B$4*COS(RADIANS(B16))</f>
        <v>4.005481860981705</v>
      </c>
      <c r="C42" s="3">
        <f aca="true" t="shared" si="27" ref="C42:Z42">$F$4-$B$4*COS(RADIANS(C16))</f>
        <v>4.195773934819385</v>
      </c>
      <c r="D42" s="3">
        <f t="shared" si="27"/>
        <v>4.645317728218304</v>
      </c>
      <c r="E42" s="3">
        <f t="shared" si="27"/>
        <v>5.323477574564567</v>
      </c>
      <c r="F42" s="3">
        <f t="shared" si="27"/>
        <v>6.184038001041813</v>
      </c>
      <c r="G42" s="3">
        <f t="shared" si="27"/>
        <v>7.168353236728962</v>
      </c>
      <c r="H42" s="3">
        <f t="shared" si="27"/>
        <v>8.209343824971775</v>
      </c>
      <c r="I42" s="3">
        <f t="shared" si="27"/>
        <v>9.23606797749979</v>
      </c>
      <c r="J42" s="3">
        <f t="shared" si="27"/>
        <v>10.178556140060108</v>
      </c>
      <c r="K42" s="3">
        <f t="shared" si="27"/>
        <v>10.972579301909576</v>
      </c>
      <c r="L42" s="3">
        <f t="shared" si="27"/>
        <v>11.564026096753471</v>
      </c>
      <c r="M42" s="6">
        <f t="shared" si="27"/>
        <v>11.912590402935223</v>
      </c>
      <c r="N42" s="11">
        <f t="shared" si="27"/>
        <v>11.994518139018295</v>
      </c>
      <c r="O42" s="11">
        <f t="shared" si="27"/>
        <v>11.804226065180615</v>
      </c>
      <c r="P42" s="11">
        <f t="shared" si="27"/>
        <v>11.354682271781696</v>
      </c>
      <c r="Q42" s="11">
        <f t="shared" si="27"/>
        <v>10.676522425435433</v>
      </c>
      <c r="R42" s="11">
        <f t="shared" si="27"/>
        <v>9.815961998958187</v>
      </c>
      <c r="S42" s="11">
        <f t="shared" si="27"/>
        <v>8.831646763271038</v>
      </c>
      <c r="T42" s="11">
        <f t="shared" si="27"/>
        <v>7.790656175028224</v>
      </c>
      <c r="U42" s="11">
        <f t="shared" si="27"/>
        <v>6.763932022500211</v>
      </c>
      <c r="V42" s="11">
        <f t="shared" si="27"/>
        <v>5.821443859939894</v>
      </c>
      <c r="W42" s="11">
        <f t="shared" si="27"/>
        <v>5.027420698090423</v>
      </c>
      <c r="X42" s="11">
        <f t="shared" si="27"/>
        <v>4.435973903246529</v>
      </c>
      <c r="Y42" s="11">
        <f t="shared" si="27"/>
        <v>4.087409597064777</v>
      </c>
      <c r="Z42" s="11">
        <f t="shared" si="27"/>
        <v>4.005481860981705</v>
      </c>
    </row>
    <row r="43" spans="1:26" s="11" customFormat="1" ht="12.75">
      <c r="A43" s="51" t="s">
        <v>41</v>
      </c>
      <c r="B43" s="4">
        <f>$F$5-$B$4*SIN(RADIANS(B16))</f>
        <v>-0.20934382497177534</v>
      </c>
      <c r="C43" s="4">
        <f aca="true" t="shared" si="28" ref="C43:Z43">$F$5-$B$4*SIN(RADIANS(C16))</f>
        <v>-1.2360679774997896</v>
      </c>
      <c r="D43" s="4">
        <f t="shared" si="28"/>
        <v>-2.1785561400601083</v>
      </c>
      <c r="E43" s="4">
        <f t="shared" si="28"/>
        <v>-2.972579301909577</v>
      </c>
      <c r="F43" s="4">
        <f t="shared" si="28"/>
        <v>-3.564026096753471</v>
      </c>
      <c r="G43" s="4">
        <f t="shared" si="28"/>
        <v>-3.9125904029352223</v>
      </c>
      <c r="H43" s="4">
        <f t="shared" si="28"/>
        <v>-3.9945181390182953</v>
      </c>
      <c r="I43" s="4">
        <f t="shared" si="28"/>
        <v>-3.8042260651806146</v>
      </c>
      <c r="J43" s="4">
        <f t="shared" si="28"/>
        <v>-3.3546822717816958</v>
      </c>
      <c r="K43" s="4">
        <f t="shared" si="28"/>
        <v>-2.6765224254354334</v>
      </c>
      <c r="L43" s="4">
        <f t="shared" si="28"/>
        <v>-1.8159619989581874</v>
      </c>
      <c r="M43" s="8">
        <f t="shared" si="28"/>
        <v>-0.8316467632710373</v>
      </c>
      <c r="N43" s="11">
        <f t="shared" si="28"/>
        <v>0.20934382497177423</v>
      </c>
      <c r="O43" s="11">
        <f t="shared" si="28"/>
        <v>1.2360679774997891</v>
      </c>
      <c r="P43" s="11">
        <f t="shared" si="28"/>
        <v>2.1785561400601083</v>
      </c>
      <c r="Q43" s="11">
        <f t="shared" si="28"/>
        <v>2.9725793019095774</v>
      </c>
      <c r="R43" s="11">
        <f t="shared" si="28"/>
        <v>3.564026096753471</v>
      </c>
      <c r="S43" s="11">
        <f t="shared" si="28"/>
        <v>3.9125904029352223</v>
      </c>
      <c r="T43" s="11">
        <f t="shared" si="28"/>
        <v>3.9945181390182953</v>
      </c>
      <c r="U43" s="11">
        <f t="shared" si="28"/>
        <v>3.8042260651806146</v>
      </c>
      <c r="V43" s="11">
        <f t="shared" si="28"/>
        <v>3.354682271781697</v>
      </c>
      <c r="W43" s="11">
        <f t="shared" si="28"/>
        <v>2.6765224254354325</v>
      </c>
      <c r="X43" s="11">
        <f t="shared" si="28"/>
        <v>1.8159619989581879</v>
      </c>
      <c r="Y43" s="11">
        <f t="shared" si="28"/>
        <v>0.8316467632710395</v>
      </c>
      <c r="Z43" s="11">
        <f t="shared" si="28"/>
        <v>-0.20934382497177553</v>
      </c>
    </row>
    <row r="44" spans="1:26" s="11" customFormat="1" ht="12.75">
      <c r="A44" s="51" t="s">
        <v>42</v>
      </c>
      <c r="B44" s="4">
        <f>(B42^2+B43^2+$B$5^2-$B$6^2)/(2*$B$5)</f>
        <v>4.005481860981705</v>
      </c>
      <c r="C44" s="4">
        <f aca="true" t="shared" si="29" ref="C44:Z44">(C42^2+C43^2+$B$5^2-$B$6^2)/(2*$B$5)</f>
        <v>4.195773934819385</v>
      </c>
      <c r="D44" s="4">
        <f t="shared" si="29"/>
        <v>4.645317728218304</v>
      </c>
      <c r="E44" s="4">
        <f t="shared" si="29"/>
        <v>5.323477574564567</v>
      </c>
      <c r="F44" s="4">
        <f t="shared" si="29"/>
        <v>6.184038001041813</v>
      </c>
      <c r="G44" s="4">
        <f t="shared" si="29"/>
        <v>7.1683532367289615</v>
      </c>
      <c r="H44" s="4">
        <f t="shared" si="29"/>
        <v>8.209343824971775</v>
      </c>
      <c r="I44" s="4">
        <f t="shared" si="29"/>
        <v>9.23606797749979</v>
      </c>
      <c r="J44" s="4">
        <f t="shared" si="29"/>
        <v>10.178556140060106</v>
      </c>
      <c r="K44" s="4">
        <f t="shared" si="29"/>
        <v>10.972579301909576</v>
      </c>
      <c r="L44" s="4">
        <f t="shared" si="29"/>
        <v>11.564026096753471</v>
      </c>
      <c r="M44" s="8">
        <f t="shared" si="29"/>
        <v>11.912590402935223</v>
      </c>
      <c r="N44" s="11">
        <f t="shared" si="29"/>
        <v>11.994518139018295</v>
      </c>
      <c r="O44" s="11">
        <f t="shared" si="29"/>
        <v>11.804226065180615</v>
      </c>
      <c r="P44" s="11">
        <f t="shared" si="29"/>
        <v>11.354682271781696</v>
      </c>
      <c r="Q44" s="11">
        <f t="shared" si="29"/>
        <v>10.676522425435433</v>
      </c>
      <c r="R44" s="11">
        <f t="shared" si="29"/>
        <v>9.815961998958187</v>
      </c>
      <c r="S44" s="11">
        <f t="shared" si="29"/>
        <v>8.831646763271038</v>
      </c>
      <c r="T44" s="11">
        <f t="shared" si="29"/>
        <v>7.790656175028225</v>
      </c>
      <c r="U44" s="11">
        <f t="shared" si="29"/>
        <v>6.763932022500211</v>
      </c>
      <c r="V44" s="11">
        <f t="shared" si="29"/>
        <v>5.821443859939894</v>
      </c>
      <c r="W44" s="11">
        <f t="shared" si="29"/>
        <v>5.027420698090423</v>
      </c>
      <c r="X44" s="11">
        <f t="shared" si="29"/>
        <v>4.435973903246529</v>
      </c>
      <c r="Y44" s="11">
        <f t="shared" si="29"/>
        <v>4.087409597064777</v>
      </c>
      <c r="Z44" s="11">
        <f t="shared" si="29"/>
        <v>4.005481860981705</v>
      </c>
    </row>
    <row r="45" spans="1:26" s="11" customFormat="1" ht="12.75">
      <c r="A45" s="51" t="s">
        <v>32</v>
      </c>
      <c r="B45" s="4">
        <f>B42^2+B43^2-B44^2</f>
        <v>0.043824837053811905</v>
      </c>
      <c r="C45" s="4">
        <f aca="true" t="shared" si="30" ref="C45:Z45">C42^2+C43^2-C44^2</f>
        <v>1.5278640450004204</v>
      </c>
      <c r="D45" s="4">
        <f t="shared" si="30"/>
        <v>4.746106855393599</v>
      </c>
      <c r="E45" s="4">
        <f t="shared" si="30"/>
        <v>8.836227706141226</v>
      </c>
      <c r="F45" s="4">
        <f t="shared" si="30"/>
        <v>12.702282018339787</v>
      </c>
      <c r="G45" s="4">
        <f t="shared" si="30"/>
        <v>15.308363661140817</v>
      </c>
      <c r="H45" s="4">
        <f t="shared" si="30"/>
        <v>15.956175162946181</v>
      </c>
      <c r="I45" s="4">
        <f t="shared" si="30"/>
        <v>14.472135954999587</v>
      </c>
      <c r="J45" s="4">
        <f t="shared" si="30"/>
        <v>11.253893144606423</v>
      </c>
      <c r="K45" s="4">
        <f t="shared" si="30"/>
        <v>7.16377229385877</v>
      </c>
      <c r="L45" s="4">
        <f t="shared" si="30"/>
        <v>3.297717981660213</v>
      </c>
      <c r="M45" s="8">
        <f t="shared" si="30"/>
        <v>0.6916363388591833</v>
      </c>
      <c r="N45" s="11">
        <f t="shared" si="30"/>
        <v>0.04382483705381901</v>
      </c>
      <c r="O45" s="11">
        <f t="shared" si="30"/>
        <v>1.5278640450004275</v>
      </c>
      <c r="P45" s="11">
        <f t="shared" si="30"/>
        <v>4.746106855393606</v>
      </c>
      <c r="Q45" s="11">
        <f t="shared" si="30"/>
        <v>8.83622770614123</v>
      </c>
      <c r="R45" s="11">
        <f t="shared" si="30"/>
        <v>12.702282018339787</v>
      </c>
      <c r="S45" s="11">
        <f t="shared" si="30"/>
        <v>15.308363661140802</v>
      </c>
      <c r="T45" s="11">
        <f t="shared" si="30"/>
        <v>15.956175162946174</v>
      </c>
      <c r="U45" s="11">
        <f t="shared" si="30"/>
        <v>14.47213595499958</v>
      </c>
      <c r="V45" s="11">
        <f t="shared" si="30"/>
        <v>11.253893144606408</v>
      </c>
      <c r="W45" s="11">
        <f t="shared" si="30"/>
        <v>7.163772293858774</v>
      </c>
      <c r="X45" s="11">
        <f t="shared" si="30"/>
        <v>3.2977179816602167</v>
      </c>
      <c r="Y45" s="11">
        <f t="shared" si="30"/>
        <v>0.6916363388591975</v>
      </c>
      <c r="Z45" s="11">
        <f t="shared" si="30"/>
        <v>0.043824837053811905</v>
      </c>
    </row>
    <row r="46" spans="1:26" s="11" customFormat="1" ht="12.75">
      <c r="A46" s="51" t="s">
        <v>18</v>
      </c>
      <c r="B46" s="4">
        <f>(B43+SQRT(B45))/(B42+B44)</f>
        <v>-4.192285430382627E-16</v>
      </c>
      <c r="C46" s="4">
        <f aca="true" t="shared" si="31" ref="C46:Z46">(C43+SQRT(C45))/(C42+C44)</f>
        <v>0</v>
      </c>
      <c r="D46" s="4">
        <f t="shared" si="31"/>
        <v>0</v>
      </c>
      <c r="E46" s="4">
        <f t="shared" si="31"/>
        <v>-4.171044243446323E-17</v>
      </c>
      <c r="F46" s="4">
        <f t="shared" si="31"/>
        <v>3.5906086749082697E-17</v>
      </c>
      <c r="G46" s="4">
        <f t="shared" si="31"/>
        <v>9.292703537012942E-17</v>
      </c>
      <c r="H46" s="4">
        <f t="shared" si="31"/>
        <v>-2.7047789647888786E-17</v>
      </c>
      <c r="I46" s="4">
        <f t="shared" si="31"/>
        <v>4.808206381026202E-17</v>
      </c>
      <c r="J46" s="4">
        <f t="shared" si="31"/>
        <v>1.7451953056573314E-16</v>
      </c>
      <c r="K46" s="4">
        <f t="shared" si="31"/>
        <v>-4.047263616247249E-17</v>
      </c>
      <c r="L46" s="4">
        <f>(L43+SQRT(L45))/(L42+L44)</f>
        <v>-3.8402646806092726E-17</v>
      </c>
      <c r="M46" s="8">
        <f t="shared" si="31"/>
        <v>-2.376534924004928E-16</v>
      </c>
      <c r="N46" s="11">
        <f t="shared" si="31"/>
        <v>0.017453291790921047</v>
      </c>
      <c r="O46" s="11">
        <f t="shared" si="31"/>
        <v>0.10471402112044165</v>
      </c>
      <c r="P46" s="11">
        <f t="shared" si="31"/>
        <v>0.1918641215945064</v>
      </c>
      <c r="Q46" s="11">
        <f t="shared" si="31"/>
        <v>0.27842205387287833</v>
      </c>
      <c r="R46" s="11">
        <f t="shared" si="31"/>
        <v>0.36308474881338554</v>
      </c>
      <c r="S46" s="11">
        <f t="shared" si="31"/>
        <v>0.44301934937059106</v>
      </c>
      <c r="T46" s="11">
        <f t="shared" si="31"/>
        <v>0.5127319251775122</v>
      </c>
      <c r="U46" s="11">
        <f t="shared" si="31"/>
        <v>0.5624281930282359</v>
      </c>
      <c r="V46" s="11">
        <f t="shared" si="31"/>
        <v>0.5762629259154848</v>
      </c>
      <c r="W46" s="11">
        <f t="shared" si="31"/>
        <v>0.53238481244509</v>
      </c>
      <c r="X46" s="11">
        <f t="shared" si="31"/>
        <v>0.40937165965497474</v>
      </c>
      <c r="Y46" s="11">
        <f t="shared" si="31"/>
        <v>0.20346548187102567</v>
      </c>
      <c r="Z46" s="11">
        <f t="shared" si="31"/>
        <v>-4.434814339578316E-16</v>
      </c>
    </row>
    <row r="47" spans="1:26" s="11" customFormat="1" ht="12.75">
      <c r="A47" s="51" t="s">
        <v>31</v>
      </c>
      <c r="B47" s="4">
        <f>ATAN(B46)</f>
        <v>-4.192285430382627E-16</v>
      </c>
      <c r="C47" s="4">
        <f aca="true" t="shared" si="32" ref="C47:Z47">ATAN(C46)</f>
        <v>0</v>
      </c>
      <c r="D47" s="4">
        <f t="shared" si="32"/>
        <v>0</v>
      </c>
      <c r="E47" s="4">
        <f t="shared" si="32"/>
        <v>-4.171044243446323E-17</v>
      </c>
      <c r="F47" s="4">
        <f t="shared" si="32"/>
        <v>3.5906086749082697E-17</v>
      </c>
      <c r="G47" s="4">
        <f t="shared" si="32"/>
        <v>9.292703537012942E-17</v>
      </c>
      <c r="H47" s="4">
        <f t="shared" si="32"/>
        <v>-2.7047789647888786E-17</v>
      </c>
      <c r="I47" s="4">
        <f t="shared" si="32"/>
        <v>4.808206381026202E-17</v>
      </c>
      <c r="J47" s="4">
        <f t="shared" si="32"/>
        <v>1.7451953056573314E-16</v>
      </c>
      <c r="K47" s="4">
        <f t="shared" si="32"/>
        <v>-4.047263616247249E-17</v>
      </c>
      <c r="L47" s="4">
        <f t="shared" si="32"/>
        <v>-3.8402646806092726E-17</v>
      </c>
      <c r="M47" s="8">
        <f t="shared" si="32"/>
        <v>-2.376534924004928E-16</v>
      </c>
      <c r="N47" s="11">
        <f t="shared" si="32"/>
        <v>0.017451519922665578</v>
      </c>
      <c r="O47" s="11">
        <f t="shared" si="32"/>
        <v>0.10433378889450458</v>
      </c>
      <c r="P47" s="11">
        <f t="shared" si="32"/>
        <v>0.18956050125424337</v>
      </c>
      <c r="Q47" s="11">
        <f t="shared" si="32"/>
        <v>0.27154487542017974</v>
      </c>
      <c r="R47" s="11">
        <f t="shared" si="32"/>
        <v>0.348283724641788</v>
      </c>
      <c r="S47" s="11">
        <f t="shared" si="32"/>
        <v>0.4170336725564009</v>
      </c>
      <c r="T47" s="11">
        <f t="shared" si="32"/>
        <v>0.47378119248038275</v>
      </c>
      <c r="U47" s="11">
        <f t="shared" si="32"/>
        <v>0.5123349109077545</v>
      </c>
      <c r="V47" s="11">
        <f t="shared" si="32"/>
        <v>0.5227828841746754</v>
      </c>
      <c r="W47" s="11">
        <f t="shared" si="32"/>
        <v>0.4892185676087791</v>
      </c>
      <c r="X47" s="11">
        <f t="shared" si="32"/>
        <v>0.3885591958761239</v>
      </c>
      <c r="Y47" s="11">
        <f t="shared" si="32"/>
        <v>0.200725522423782</v>
      </c>
      <c r="Z47" s="11">
        <f t="shared" si="32"/>
        <v>-4.434814339578316E-16</v>
      </c>
    </row>
    <row r="48" spans="1:26" s="11" customFormat="1" ht="12.75">
      <c r="A48" s="51" t="s">
        <v>30</v>
      </c>
      <c r="B48" s="4">
        <f>2*B47</f>
        <v>-8.384570860765254E-16</v>
      </c>
      <c r="C48" s="4">
        <f aca="true" t="shared" si="33" ref="C48:Z48">2*C47</f>
        <v>0</v>
      </c>
      <c r="D48" s="4">
        <f t="shared" si="33"/>
        <v>0</v>
      </c>
      <c r="E48" s="4">
        <f t="shared" si="33"/>
        <v>-8.342088486892645E-17</v>
      </c>
      <c r="F48" s="4">
        <f t="shared" si="33"/>
        <v>7.181217349816539E-17</v>
      </c>
      <c r="G48" s="4">
        <f t="shared" si="33"/>
        <v>1.8585407074025885E-16</v>
      </c>
      <c r="H48" s="4">
        <f t="shared" si="33"/>
        <v>-5.409557929577757E-17</v>
      </c>
      <c r="I48" s="4">
        <f t="shared" si="33"/>
        <v>9.616412762052405E-17</v>
      </c>
      <c r="J48" s="4">
        <f t="shared" si="33"/>
        <v>3.4903906113146627E-16</v>
      </c>
      <c r="K48" s="4">
        <f t="shared" si="33"/>
        <v>-8.094527232494498E-17</v>
      </c>
      <c r="L48" s="4">
        <f t="shared" si="33"/>
        <v>-7.680529361218545E-17</v>
      </c>
      <c r="M48" s="8">
        <f t="shared" si="33"/>
        <v>-4.753069848009856E-16</v>
      </c>
      <c r="N48" s="11">
        <f t="shared" si="33"/>
        <v>0.034903039845331156</v>
      </c>
      <c r="O48" s="11">
        <f t="shared" si="33"/>
        <v>0.20866757778900916</v>
      </c>
      <c r="P48" s="11">
        <f t="shared" si="33"/>
        <v>0.37912100250848674</v>
      </c>
      <c r="Q48" s="11">
        <f t="shared" si="33"/>
        <v>0.5430897508403595</v>
      </c>
      <c r="R48" s="11">
        <f t="shared" si="33"/>
        <v>0.696567449283576</v>
      </c>
      <c r="S48" s="11">
        <f t="shared" si="33"/>
        <v>0.8340673451128018</v>
      </c>
      <c r="T48" s="11">
        <f t="shared" si="33"/>
        <v>0.9475623849607655</v>
      </c>
      <c r="U48" s="11">
        <f t="shared" si="33"/>
        <v>1.024669821815509</v>
      </c>
      <c r="V48" s="11">
        <f t="shared" si="33"/>
        <v>1.0455657683493509</v>
      </c>
      <c r="W48" s="11">
        <f t="shared" si="33"/>
        <v>0.9784371352175582</v>
      </c>
      <c r="X48" s="11">
        <f t="shared" si="33"/>
        <v>0.7771183917522478</v>
      </c>
      <c r="Y48" s="11">
        <f t="shared" si="33"/>
        <v>0.401451044847564</v>
      </c>
      <c r="Z48" s="11">
        <f t="shared" si="33"/>
        <v>-8.869628679156632E-16</v>
      </c>
    </row>
    <row r="49" spans="1:26" s="11" customFormat="1" ht="12.75">
      <c r="A49" s="51" t="s">
        <v>29</v>
      </c>
      <c r="B49" s="4">
        <f>ACOS(($B$5*COS(B48)-B42)/$B$6)</f>
        <v>0.052359877559832624</v>
      </c>
      <c r="C49" s="4">
        <f aca="true" t="shared" si="34" ref="C49:Z49">ACOS(($B$5*COS(C48)-C42)/$B$6)</f>
        <v>0.3141592653589791</v>
      </c>
      <c r="D49" s="4">
        <f t="shared" si="34"/>
        <v>0.5759586531581287</v>
      </c>
      <c r="E49" s="4">
        <f t="shared" si="34"/>
        <v>0.837758040957278</v>
      </c>
      <c r="F49" s="4">
        <f t="shared" si="34"/>
        <v>1.0995574287564276</v>
      </c>
      <c r="G49" s="4">
        <f t="shared" si="34"/>
        <v>1.361356816555577</v>
      </c>
      <c r="H49" s="4">
        <f t="shared" si="34"/>
        <v>1.6231562043547263</v>
      </c>
      <c r="I49" s="4">
        <f t="shared" si="34"/>
        <v>1.8849555921538759</v>
      </c>
      <c r="J49" s="4">
        <f t="shared" si="34"/>
        <v>2.146754979953025</v>
      </c>
      <c r="K49" s="4">
        <f t="shared" si="34"/>
        <v>2.4085543677521746</v>
      </c>
      <c r="L49" s="4">
        <f t="shared" si="34"/>
        <v>2.670353755551324</v>
      </c>
      <c r="M49" s="8">
        <f t="shared" si="34"/>
        <v>2.932153143350474</v>
      </c>
      <c r="N49" s="11">
        <f t="shared" si="34"/>
        <v>3.1241358158752868</v>
      </c>
      <c r="O49" s="11">
        <f t="shared" si="34"/>
        <v>3.0361009660198244</v>
      </c>
      <c r="P49" s="11">
        <f t="shared" si="34"/>
        <v>2.9447550029401515</v>
      </c>
      <c r="Q49" s="11">
        <f t="shared" si="34"/>
        <v>2.8469243634728754</v>
      </c>
      <c r="R49" s="11">
        <f t="shared" si="34"/>
        <v>2.7386026741169416</v>
      </c>
      <c r="S49" s="11">
        <f t="shared" si="34"/>
        <v>2.614303182147018</v>
      </c>
      <c r="T49" s="11">
        <f t="shared" si="34"/>
        <v>2.465998834195832</v>
      </c>
      <c r="U49" s="11">
        <f t="shared" si="34"/>
        <v>2.2813068832514265</v>
      </c>
      <c r="V49" s="11">
        <f t="shared" si="34"/>
        <v>2.0404034419861192</v>
      </c>
      <c r="W49" s="11">
        <f t="shared" si="34"/>
        <v>1.7114754210551766</v>
      </c>
      <c r="X49" s="11">
        <f t="shared" si="34"/>
        <v>1.2483572897907171</v>
      </c>
      <c r="Y49" s="11">
        <f t="shared" si="34"/>
        <v>0.6108905550868837</v>
      </c>
      <c r="Z49" s="11">
        <f t="shared" si="34"/>
        <v>0.052359877559832624</v>
      </c>
    </row>
    <row r="50" spans="1:26" s="11" customFormat="1" ht="12.75">
      <c r="A50" s="51" t="s">
        <v>19</v>
      </c>
      <c r="B50" s="4">
        <f>-B22*$B$4*SIN(RADIANS(B16)-B49)/($B$5*SIN(B48-B49))</f>
        <v>-2.6118985821605786E-14</v>
      </c>
      <c r="C50" s="4">
        <f aca="true" t="shared" si="35" ref="C50:Z50">-C22*$B$4*SIN(RADIANS(C16)-C49)/($B$5*SIN(C48-C49))</f>
        <v>3.5927571778724326E-16</v>
      </c>
      <c r="D50" s="4">
        <f t="shared" si="35"/>
        <v>1.0192282899760615E-16</v>
      </c>
      <c r="E50" s="4">
        <f t="shared" si="35"/>
        <v>1.4939524390981966E-16</v>
      </c>
      <c r="F50" s="4">
        <f t="shared" si="35"/>
        <v>0</v>
      </c>
      <c r="G50" s="4">
        <f t="shared" si="35"/>
        <v>0</v>
      </c>
      <c r="H50" s="4">
        <f t="shared" si="35"/>
        <v>1.1117466347498005E-16</v>
      </c>
      <c r="I50" s="4">
        <f t="shared" si="35"/>
        <v>0</v>
      </c>
      <c r="J50" s="4">
        <f t="shared" si="35"/>
        <v>2.6475783628486724E-16</v>
      </c>
      <c r="K50" s="4">
        <f t="shared" si="35"/>
        <v>0</v>
      </c>
      <c r="L50" s="4">
        <f t="shared" si="35"/>
        <v>0</v>
      </c>
      <c r="M50" s="4">
        <f t="shared" si="35"/>
        <v>-1.0679755623730696E-15</v>
      </c>
      <c r="N50" s="4">
        <f t="shared" si="35"/>
        <v>0.6664635110372078</v>
      </c>
      <c r="O50" s="4">
        <f t="shared" si="35"/>
        <v>0.6592545468744213</v>
      </c>
      <c r="P50" s="4">
        <f t="shared" si="35"/>
        <v>0.640919917429699</v>
      </c>
      <c r="Q50" s="4">
        <f t="shared" si="35"/>
        <v>0.6091980412823675</v>
      </c>
      <c r="R50" s="4">
        <f t="shared" si="35"/>
        <v>0.5598567010117504</v>
      </c>
      <c r="S50" s="4">
        <f t="shared" si="35"/>
        <v>0.48556554918678485</v>
      </c>
      <c r="T50" s="4">
        <f t="shared" si="35"/>
        <v>0.37378098314844604</v>
      </c>
      <c r="U50" s="4">
        <f t="shared" si="35"/>
        <v>0.20296116346776244</v>
      </c>
      <c r="V50" s="4">
        <f t="shared" si="35"/>
        <v>-0.06328537760234257</v>
      </c>
      <c r="W50" s="4">
        <f t="shared" si="35"/>
        <v>-0.47971262344595034</v>
      </c>
      <c r="X50" s="4">
        <f t="shared" si="35"/>
        <v>-1.0891744572916222</v>
      </c>
      <c r="Y50" s="4">
        <f t="shared" si="35"/>
        <v>-1.7588500304741104</v>
      </c>
      <c r="Z50" s="4">
        <f t="shared" si="35"/>
        <v>-2.779699807695956E-14</v>
      </c>
    </row>
    <row r="51" spans="1:26" s="11" customFormat="1" ht="12.75">
      <c r="A51" s="51" t="s">
        <v>28</v>
      </c>
      <c r="B51" s="4">
        <f>-B22*$B$4*SIN(RADIANS(B16)-B48)/($B$6*SIN(B48-B49))</f>
        <v>0.9999999999999479</v>
      </c>
      <c r="C51" s="4">
        <f aca="true" t="shared" si="36" ref="C51:Z51">-C22*$B$4*SIN(RADIANS(C16)-C48)/($B$6*SIN(C48-C49))</f>
        <v>1.0000000000000007</v>
      </c>
      <c r="D51" s="4">
        <f t="shared" si="36"/>
        <v>1.0000000000000002</v>
      </c>
      <c r="E51" s="4">
        <f t="shared" si="36"/>
        <v>1.0000000000000002</v>
      </c>
      <c r="F51" s="4">
        <f t="shared" si="36"/>
        <v>1</v>
      </c>
      <c r="G51" s="4">
        <f t="shared" si="36"/>
        <v>1</v>
      </c>
      <c r="H51" s="4">
        <f t="shared" si="36"/>
        <v>1</v>
      </c>
      <c r="I51" s="4">
        <f t="shared" si="36"/>
        <v>1</v>
      </c>
      <c r="J51" s="4">
        <f t="shared" si="36"/>
        <v>0.9999999999999998</v>
      </c>
      <c r="K51" s="4">
        <f t="shared" si="36"/>
        <v>1</v>
      </c>
      <c r="L51" s="4">
        <f t="shared" si="36"/>
        <v>1</v>
      </c>
      <c r="M51" s="4">
        <f t="shared" si="36"/>
        <v>1.0000000000000022</v>
      </c>
      <c r="N51" s="4">
        <f t="shared" si="36"/>
        <v>-0.3335364889626889</v>
      </c>
      <c r="O51" s="4">
        <f t="shared" si="36"/>
        <v>-0.3407454531255788</v>
      </c>
      <c r="P51" s="4">
        <f t="shared" si="36"/>
        <v>-0.3590800825703005</v>
      </c>
      <c r="Q51" s="4">
        <f t="shared" si="36"/>
        <v>-0.39080195871763324</v>
      </c>
      <c r="R51" s="4">
        <f t="shared" si="36"/>
        <v>-0.4401432989882492</v>
      </c>
      <c r="S51" s="4">
        <f t="shared" si="36"/>
        <v>-0.514434450813215</v>
      </c>
      <c r="T51" s="4">
        <f t="shared" si="36"/>
        <v>-0.6262190168515539</v>
      </c>
      <c r="U51" s="4">
        <f t="shared" si="36"/>
        <v>-0.7970388365322374</v>
      </c>
      <c r="V51" s="4">
        <f t="shared" si="36"/>
        <v>-1.0632853776023425</v>
      </c>
      <c r="W51" s="4">
        <f t="shared" si="36"/>
        <v>-1.4797126234459501</v>
      </c>
      <c r="X51" s="4">
        <f t="shared" si="36"/>
        <v>-2.089174457291622</v>
      </c>
      <c r="Y51" s="4">
        <f t="shared" si="36"/>
        <v>-2.7588500304741124</v>
      </c>
      <c r="Z51" s="4">
        <f t="shared" si="36"/>
        <v>0.9999999999999488</v>
      </c>
    </row>
    <row r="52" spans="1:26" s="11" customFormat="1" ht="12.75">
      <c r="A52" s="51" t="s">
        <v>27</v>
      </c>
      <c r="B52" s="4">
        <f>B20*$B$4*SIN(RADIANS(B16))+B22^2*$B$4*COS(RADIANS(B16))+B50^2*$B$5*COS(B48)-B51^2*$B$6*COS(B49)</f>
        <v>4.1655567883935873E-13</v>
      </c>
      <c r="C52" s="4">
        <f aca="true" t="shared" si="37" ref="C52:Z52">C20*$B$4*SIN(RADIANS(C16))+C22^2*$B$4*COS(RADIANS(C16))+C50^2*$B$5*COS(C48)-C51^2*$B$6*COS(C49)</f>
        <v>-5.329070518200751E-15</v>
      </c>
      <c r="D52" s="4">
        <f t="shared" si="37"/>
        <v>0</v>
      </c>
      <c r="E52" s="4">
        <f t="shared" si="37"/>
        <v>0</v>
      </c>
      <c r="F52" s="4">
        <f t="shared" si="37"/>
        <v>0</v>
      </c>
      <c r="G52" s="4">
        <f t="shared" si="37"/>
        <v>0</v>
      </c>
      <c r="H52" s="4">
        <f t="shared" si="37"/>
        <v>-8.881784197001252E-16</v>
      </c>
      <c r="I52" s="4">
        <f t="shared" si="37"/>
        <v>0</v>
      </c>
      <c r="J52" s="4">
        <f t="shared" si="37"/>
        <v>0</v>
      </c>
      <c r="K52" s="4">
        <f t="shared" si="37"/>
        <v>0</v>
      </c>
      <c r="L52" s="4">
        <f t="shared" si="37"/>
        <v>0</v>
      </c>
      <c r="M52" s="4">
        <f t="shared" si="37"/>
        <v>1.7319479184152442E-14</v>
      </c>
      <c r="N52" s="4">
        <f t="shared" si="37"/>
        <v>0.0016251212182149533</v>
      </c>
      <c r="O52" s="4">
        <f t="shared" si="37"/>
        <v>0.05913213977852033</v>
      </c>
      <c r="P52" s="4">
        <f t="shared" si="37"/>
        <v>0.20398530860692343</v>
      </c>
      <c r="Q52" s="4">
        <f t="shared" si="37"/>
        <v>0.44984107436371656</v>
      </c>
      <c r="R52" s="4">
        <f t="shared" si="37"/>
        <v>0.8202546189497141</v>
      </c>
      <c r="S52" s="4">
        <f t="shared" si="37"/>
        <v>1.350416095581667</v>
      </c>
      <c r="T52" s="4">
        <f t="shared" si="37"/>
        <v>2.085739397315958</v>
      </c>
      <c r="U52" s="4">
        <f t="shared" si="37"/>
        <v>3.064575644500386</v>
      </c>
      <c r="V52" s="4">
        <f t="shared" si="37"/>
        <v>4.2411263933545555</v>
      </c>
      <c r="W52" s="4">
        <f t="shared" si="37"/>
        <v>5.228477890503613</v>
      </c>
      <c r="X52" s="4">
        <f t="shared" si="37"/>
        <v>4.797794833916988</v>
      </c>
      <c r="Y52" s="4">
        <f t="shared" si="37"/>
        <v>1.754739832800098</v>
      </c>
      <c r="Z52" s="4">
        <f t="shared" si="37"/>
        <v>4.0945025148175773E-13</v>
      </c>
    </row>
    <row r="53" spans="1:26" s="11" customFormat="1" ht="12.75">
      <c r="A53" s="51" t="s">
        <v>20</v>
      </c>
      <c r="B53" s="4">
        <f>-B20*$B$4*COS(RADIANS(B16))+B22^2*$B$4*SIN(RADIANS(B16))+B50^2*$B$5*SIN(B48)-B51^2*$B$6*SIN(B49)</f>
        <v>1.0852430065710905E-14</v>
      </c>
      <c r="C53" s="4">
        <f aca="true" t="shared" si="38" ref="C53:Z53">-C20*$B$4*COS(RADIANS(C16))+C22^2*$B$4*SIN(RADIANS(C16))+C50^2*$B$5*SIN(C48)-C51^2*$B$6*SIN(C49)</f>
        <v>0</v>
      </c>
      <c r="D53" s="4">
        <f t="shared" si="38"/>
        <v>0</v>
      </c>
      <c r="E53" s="4">
        <f t="shared" si="38"/>
        <v>0</v>
      </c>
      <c r="F53" s="4">
        <f t="shared" si="38"/>
        <v>0</v>
      </c>
      <c r="G53" s="4">
        <f t="shared" si="38"/>
        <v>0</v>
      </c>
      <c r="H53" s="4">
        <f t="shared" si="38"/>
        <v>0</v>
      </c>
      <c r="I53" s="4">
        <f t="shared" si="38"/>
        <v>0</v>
      </c>
      <c r="J53" s="4">
        <f t="shared" si="38"/>
        <v>0</v>
      </c>
      <c r="K53" s="4">
        <f t="shared" si="38"/>
        <v>0</v>
      </c>
      <c r="L53" s="4">
        <f t="shared" si="38"/>
        <v>0</v>
      </c>
      <c r="M53" s="4">
        <f t="shared" si="38"/>
        <v>-1.887379141862766E-15</v>
      </c>
      <c r="N53" s="4">
        <f t="shared" si="38"/>
        <v>-0.0931125909217595</v>
      </c>
      <c r="O53" s="4">
        <f t="shared" si="38"/>
        <v>-0.5647012610709138</v>
      </c>
      <c r="P53" s="4">
        <f t="shared" si="38"/>
        <v>-1.0631758919368846</v>
      </c>
      <c r="Q53" s="4">
        <f t="shared" si="38"/>
        <v>-1.6156804682185848</v>
      </c>
      <c r="R53" s="4">
        <f t="shared" si="38"/>
        <v>-2.2591271641963178</v>
      </c>
      <c r="S53" s="4">
        <f t="shared" si="38"/>
        <v>-3.0482101910452424</v>
      </c>
      <c r="T53" s="4">
        <f t="shared" si="38"/>
        <v>-4.0678945368846655</v>
      </c>
      <c r="U53" s="4">
        <f t="shared" si="38"/>
        <v>-5.448830059531767</v>
      </c>
      <c r="V53" s="4">
        <f t="shared" si="38"/>
        <v>-7.359707179872549</v>
      </c>
      <c r="W53" s="4">
        <f t="shared" si="38"/>
        <v>-9.820862218985399</v>
      </c>
      <c r="X53" s="4">
        <f t="shared" si="38"/>
        <v>-11.719899804399379</v>
      </c>
      <c r="Y53" s="4">
        <f t="shared" si="38"/>
        <v>-8.624263028125988</v>
      </c>
      <c r="Z53" s="4">
        <f t="shared" si="38"/>
        <v>1.0685896612017132E-14</v>
      </c>
    </row>
    <row r="54" spans="1:26" s="11" customFormat="1" ht="12.75">
      <c r="A54" s="51" t="s">
        <v>26</v>
      </c>
      <c r="B54" s="4">
        <f>(B52*COS(B49)+B53*SIN(B49))/$B$5/SIN(B49-B48)</f>
        <v>9.949010345060484E-13</v>
      </c>
      <c r="C54" s="4">
        <f aca="true" t="shared" si="39" ref="C54:Z54">(C52*COS(C49)+C53*SIN(C49))/$B$5/SIN(C49-C48)</f>
        <v>-2.050149075289058E-15</v>
      </c>
      <c r="D54" s="4">
        <f t="shared" si="39"/>
        <v>0</v>
      </c>
      <c r="E54" s="4">
        <f t="shared" si="39"/>
        <v>0</v>
      </c>
      <c r="F54" s="4">
        <f t="shared" si="39"/>
        <v>0</v>
      </c>
      <c r="G54" s="4">
        <f t="shared" si="39"/>
        <v>0</v>
      </c>
      <c r="H54" s="4">
        <f t="shared" si="39"/>
        <v>5.818432322950539E-18</v>
      </c>
      <c r="I54" s="4">
        <f t="shared" si="39"/>
        <v>0</v>
      </c>
      <c r="J54" s="4">
        <f t="shared" si="39"/>
        <v>0</v>
      </c>
      <c r="K54" s="4">
        <f t="shared" si="39"/>
        <v>0</v>
      </c>
      <c r="L54" s="4">
        <f t="shared" si="39"/>
        <v>0</v>
      </c>
      <c r="M54" s="8">
        <f t="shared" si="39"/>
        <v>-1.0421140299014005E-14</v>
      </c>
      <c r="N54" s="11">
        <f t="shared" si="39"/>
        <v>-0.0077629288502287855</v>
      </c>
      <c r="O54" s="11">
        <f t="shared" si="39"/>
        <v>-0.04783890599457736</v>
      </c>
      <c r="P54" s="11">
        <f t="shared" si="39"/>
        <v>-0.09363325776002103</v>
      </c>
      <c r="Q54" s="11">
        <f t="shared" si="39"/>
        <v>-0.15133021819627726</v>
      </c>
      <c r="R54" s="11">
        <f t="shared" si="39"/>
        <v>-0.23014832009701003</v>
      </c>
      <c r="S54" s="11">
        <f t="shared" si="39"/>
        <v>-0.3451462986180682</v>
      </c>
      <c r="T54" s="11">
        <f t="shared" si="39"/>
        <v>-0.522150438357643</v>
      </c>
      <c r="U54" s="11">
        <f t="shared" si="39"/>
        <v>-0.8055713808781994</v>
      </c>
      <c r="V54" s="11">
        <f t="shared" si="39"/>
        <v>-1.2642408579284208</v>
      </c>
      <c r="W54" s="11">
        <f t="shared" si="39"/>
        <v>-1.9534593997108063</v>
      </c>
      <c r="X54" s="11">
        <f t="shared" si="39"/>
        <v>-2.6420127935878983</v>
      </c>
      <c r="Y54" s="11">
        <f t="shared" si="39"/>
        <v>-2.1099581099773435</v>
      </c>
      <c r="Z54" s="11">
        <f t="shared" si="39"/>
        <v>9.779327639949482E-13</v>
      </c>
    </row>
    <row r="55" spans="1:26" s="11" customFormat="1" ht="13.5" thickBot="1">
      <c r="A55" s="52" t="s">
        <v>25</v>
      </c>
      <c r="B55" s="5">
        <f>(B52*COS(B48)+B53*SIN(B48))/$B$6/SIN(B49-B48)</f>
        <v>1.9898159350794904E-12</v>
      </c>
      <c r="C55" s="5">
        <f aca="true" t="shared" si="40" ref="C55:Z55">(C52*COS(C48)+C53*SIN(C48))/$B$6/SIN(C49-C48)</f>
        <v>-4.311308613446919E-15</v>
      </c>
      <c r="D55" s="5">
        <f t="shared" si="40"/>
        <v>0</v>
      </c>
      <c r="E55" s="5">
        <f t="shared" si="40"/>
        <v>0</v>
      </c>
      <c r="F55" s="5">
        <f t="shared" si="40"/>
        <v>0</v>
      </c>
      <c r="G55" s="5">
        <f t="shared" si="40"/>
        <v>0</v>
      </c>
      <c r="H55" s="5">
        <f t="shared" si="40"/>
        <v>-2.223493269499601E-16</v>
      </c>
      <c r="I55" s="5">
        <f t="shared" si="40"/>
        <v>0</v>
      </c>
      <c r="J55" s="5">
        <f t="shared" si="40"/>
        <v>0</v>
      </c>
      <c r="K55" s="5">
        <f t="shared" si="40"/>
        <v>0</v>
      </c>
      <c r="L55" s="5">
        <f t="shared" si="40"/>
        <v>0</v>
      </c>
      <c r="M55" s="9">
        <f t="shared" si="40"/>
        <v>2.0825523466274855E-14</v>
      </c>
      <c r="N55" s="11">
        <f t="shared" si="40"/>
        <v>-0.007762928854174959</v>
      </c>
      <c r="O55" s="11">
        <f t="shared" si="40"/>
        <v>-0.047838905994576957</v>
      </c>
      <c r="P55" s="11">
        <f t="shared" si="40"/>
        <v>-0.09363325776002297</v>
      </c>
      <c r="Q55" s="11">
        <f t="shared" si="40"/>
        <v>-0.15133021819627557</v>
      </c>
      <c r="R55" s="11">
        <f t="shared" si="40"/>
        <v>-0.2301483200970107</v>
      </c>
      <c r="S55" s="11">
        <f t="shared" si="40"/>
        <v>-0.34514629861806845</v>
      </c>
      <c r="T55" s="11">
        <f t="shared" si="40"/>
        <v>-0.522150438357643</v>
      </c>
      <c r="U55" s="11">
        <f t="shared" si="40"/>
        <v>-0.8055713808781995</v>
      </c>
      <c r="V55" s="11">
        <f t="shared" si="40"/>
        <v>-1.2642408579284208</v>
      </c>
      <c r="W55" s="11">
        <f t="shared" si="40"/>
        <v>-1.9534593997108056</v>
      </c>
      <c r="X55" s="11">
        <f t="shared" si="40"/>
        <v>-2.6420127935878983</v>
      </c>
      <c r="Y55" s="11">
        <f t="shared" si="40"/>
        <v>-2.109958109977362</v>
      </c>
      <c r="Z55" s="11">
        <f t="shared" si="40"/>
        <v>1.9558745118798387E-12</v>
      </c>
    </row>
    <row r="56" spans="1:13" s="11" customFormat="1" ht="16.5" thickBot="1">
      <c r="A56" s="60"/>
      <c r="B56" s="54"/>
      <c r="C56" s="54"/>
      <c r="D56" s="54"/>
      <c r="E56" s="54"/>
      <c r="F56" s="55"/>
      <c r="G56" s="55" t="s">
        <v>8</v>
      </c>
      <c r="H56" s="54"/>
      <c r="I56" s="54"/>
      <c r="J56" s="54"/>
      <c r="K56" s="54"/>
      <c r="L56" s="54"/>
      <c r="M56" s="56"/>
    </row>
    <row r="57" spans="1:26" s="11" customFormat="1" ht="12.75">
      <c r="A57" s="50" t="s">
        <v>34</v>
      </c>
      <c r="B57" s="3">
        <f aca="true" t="shared" si="41" ref="B57:Z57">B24+($B$8-$B$7)*COS(B48-$B$48)-($D$8-$D$7)*SIN(B48-$B$48)</f>
        <v>11.994518139018295</v>
      </c>
      <c r="C57" s="3">
        <f t="shared" si="41"/>
        <v>11.804226065180615</v>
      </c>
      <c r="D57" s="3">
        <f t="shared" si="41"/>
        <v>11.354682271781696</v>
      </c>
      <c r="E57" s="3">
        <f t="shared" si="41"/>
        <v>10.676522425435433</v>
      </c>
      <c r="F57" s="3">
        <f t="shared" si="41"/>
        <v>9.815961998958187</v>
      </c>
      <c r="G57" s="3">
        <f t="shared" si="41"/>
        <v>8.831646763271037</v>
      </c>
      <c r="H57" s="3">
        <f t="shared" si="41"/>
        <v>7.790656175028225</v>
      </c>
      <c r="I57" s="3">
        <f t="shared" si="41"/>
        <v>6.76393202250021</v>
      </c>
      <c r="J57" s="3">
        <f t="shared" si="41"/>
        <v>5.821443859939892</v>
      </c>
      <c r="K57" s="3">
        <f t="shared" si="41"/>
        <v>5.027420698090424</v>
      </c>
      <c r="L57" s="3">
        <f t="shared" si="41"/>
        <v>4.435973903246529</v>
      </c>
      <c r="M57" s="6">
        <f t="shared" si="41"/>
        <v>4.087409597064778</v>
      </c>
      <c r="N57" s="11">
        <f t="shared" si="41"/>
        <v>4.000609466888273</v>
      </c>
      <c r="O57" s="11">
        <f t="shared" si="41"/>
        <v>4.022236359376736</v>
      </c>
      <c r="P57" s="11">
        <f t="shared" si="41"/>
        <v>4.077240247710903</v>
      </c>
      <c r="Q57" s="11">
        <f t="shared" si="41"/>
        <v>4.172405876152897</v>
      </c>
      <c r="R57" s="11">
        <f t="shared" si="41"/>
        <v>4.320429896964747</v>
      </c>
      <c r="S57" s="11">
        <f t="shared" si="41"/>
        <v>4.543303352439648</v>
      </c>
      <c r="T57" s="11">
        <f t="shared" si="41"/>
        <v>4.8786570505546605</v>
      </c>
      <c r="U57" s="11">
        <f t="shared" si="41"/>
        <v>5.391116509596711</v>
      </c>
      <c r="V57" s="11">
        <f t="shared" si="41"/>
        <v>6.189856132807031</v>
      </c>
      <c r="W57" s="11">
        <f t="shared" si="41"/>
        <v>7.4391378703378495</v>
      </c>
      <c r="X57" s="11">
        <f t="shared" si="41"/>
        <v>9.267523371874868</v>
      </c>
      <c r="Y57" s="11">
        <f t="shared" si="41"/>
        <v>11.276550091422322</v>
      </c>
      <c r="Z57" s="11">
        <f t="shared" si="41"/>
        <v>11.994518139018295</v>
      </c>
    </row>
    <row r="58" spans="1:26" s="11" customFormat="1" ht="12.75">
      <c r="A58" s="51" t="s">
        <v>24</v>
      </c>
      <c r="B58" s="4">
        <f aca="true" t="shared" si="42" ref="B58:Z58">B25+($B$8-$B$7)*SIN(B48-$B$48)+($D$8-$D$7)*COS(B48-$B$48)</f>
        <v>0.20934382497176862</v>
      </c>
      <c r="C58" s="4">
        <f t="shared" si="42"/>
        <v>1.2360679774997896</v>
      </c>
      <c r="D58" s="4">
        <f t="shared" si="42"/>
        <v>2.178556140060108</v>
      </c>
      <c r="E58" s="4">
        <f t="shared" si="42"/>
        <v>2.972579301909576</v>
      </c>
      <c r="F58" s="4">
        <f t="shared" si="42"/>
        <v>3.5640260967534716</v>
      </c>
      <c r="G58" s="4">
        <f t="shared" si="42"/>
        <v>3.9125904029352236</v>
      </c>
      <c r="H58" s="4">
        <f t="shared" si="42"/>
        <v>3.994518139018295</v>
      </c>
      <c r="I58" s="4">
        <f t="shared" si="42"/>
        <v>3.804226065180615</v>
      </c>
      <c r="J58" s="4">
        <f t="shared" si="42"/>
        <v>3.354682271781699</v>
      </c>
      <c r="K58" s="4">
        <f t="shared" si="42"/>
        <v>2.6765224254354325</v>
      </c>
      <c r="L58" s="4">
        <f t="shared" si="42"/>
        <v>1.815961998958186</v>
      </c>
      <c r="M58" s="8">
        <f t="shared" si="42"/>
        <v>0.8316467632710347</v>
      </c>
      <c r="N58" s="11">
        <f t="shared" si="42"/>
        <v>0.06982380436712887</v>
      </c>
      <c r="O58" s="11">
        <f t="shared" si="42"/>
        <v>0.42118454308718467</v>
      </c>
      <c r="P58" s="11">
        <f t="shared" si="42"/>
        <v>0.7822761186568203</v>
      </c>
      <c r="Q58" s="11">
        <f t="shared" si="42"/>
        <v>1.1616898136297582</v>
      </c>
      <c r="R58" s="11">
        <f t="shared" si="42"/>
        <v>1.5686822039052883</v>
      </c>
      <c r="S58" s="11">
        <f t="shared" si="42"/>
        <v>2.0127712951910373</v>
      </c>
      <c r="T58" s="11">
        <f t="shared" si="42"/>
        <v>2.5014432218117353</v>
      </c>
      <c r="U58" s="11">
        <f t="shared" si="42"/>
        <v>3.032115916897169</v>
      </c>
      <c r="V58" s="11">
        <f t="shared" si="42"/>
        <v>3.5669846060872867</v>
      </c>
      <c r="W58" s="11">
        <f t="shared" si="42"/>
        <v>3.960484019852983</v>
      </c>
      <c r="X58" s="11">
        <f t="shared" si="42"/>
        <v>3.7938614236356814</v>
      </c>
      <c r="Y58" s="11">
        <f t="shared" si="42"/>
        <v>2.2943886981940045</v>
      </c>
      <c r="Z58" s="11">
        <f t="shared" si="42"/>
        <v>0.20934382497176726</v>
      </c>
    </row>
    <row r="59" spans="1:26" s="11" customFormat="1" ht="12.75">
      <c r="A59" s="51" t="s">
        <v>23</v>
      </c>
      <c r="B59" s="4">
        <f>B26-B50*(B58-B25)</f>
        <v>-0.20934382497177534</v>
      </c>
      <c r="C59" s="4">
        <f aca="true" t="shared" si="43" ref="C59:Z59">C26-C50*(C58-C25)</f>
        <v>-1.2360679774997896</v>
      </c>
      <c r="D59" s="4">
        <f t="shared" si="43"/>
        <v>-2.178556140060108</v>
      </c>
      <c r="E59" s="4">
        <f t="shared" si="43"/>
        <v>-2.9725793019095765</v>
      </c>
      <c r="F59" s="4">
        <f t="shared" si="43"/>
        <v>-3.564026096753471</v>
      </c>
      <c r="G59" s="4">
        <f t="shared" si="43"/>
        <v>-3.9125904029352223</v>
      </c>
      <c r="H59" s="4">
        <f t="shared" si="43"/>
        <v>-3.9945181390182953</v>
      </c>
      <c r="I59" s="4">
        <f t="shared" si="43"/>
        <v>-3.804226065180614</v>
      </c>
      <c r="J59" s="4">
        <f t="shared" si="43"/>
        <v>-3.354682271781696</v>
      </c>
      <c r="K59" s="4">
        <f t="shared" si="43"/>
        <v>-2.676522425435433</v>
      </c>
      <c r="L59" s="4">
        <f t="shared" si="43"/>
        <v>-1.8159619989581868</v>
      </c>
      <c r="M59" s="8">
        <f t="shared" si="43"/>
        <v>-0.8316467632710385</v>
      </c>
      <c r="N59" s="11">
        <f t="shared" si="43"/>
        <v>0.02328878655463526</v>
      </c>
      <c r="O59" s="11">
        <f t="shared" si="43"/>
        <v>0.14351671798373133</v>
      </c>
      <c r="P59" s="11">
        <f t="shared" si="43"/>
        <v>0.2808997732800653</v>
      </c>
      <c r="Q59" s="11">
        <f t="shared" si="43"/>
        <v>0.45399065458882815</v>
      </c>
      <c r="R59" s="11">
        <f t="shared" si="43"/>
        <v>0.6904449602910301</v>
      </c>
      <c r="S59" s="11">
        <f t="shared" si="43"/>
        <v>1.0354388958542051</v>
      </c>
      <c r="T59" s="11">
        <f t="shared" si="43"/>
        <v>1.5664513150729293</v>
      </c>
      <c r="U59" s="11">
        <f t="shared" si="43"/>
        <v>2.416714142634598</v>
      </c>
      <c r="V59" s="11">
        <f t="shared" si="43"/>
        <v>3.7927225737852615</v>
      </c>
      <c r="W59" s="11">
        <f t="shared" si="43"/>
        <v>5.860378199132421</v>
      </c>
      <c r="X59" s="11">
        <f t="shared" si="43"/>
        <v>7.926038380763698</v>
      </c>
      <c r="Y59" s="11">
        <f t="shared" si="43"/>
        <v>6.329874329931975</v>
      </c>
      <c r="Z59" s="11">
        <f t="shared" si="43"/>
        <v>-0.20934382497177437</v>
      </c>
    </row>
    <row r="60" spans="1:26" s="11" customFormat="1" ht="12.75">
      <c r="A60" s="51" t="s">
        <v>33</v>
      </c>
      <c r="B60" s="4">
        <f>B27+B50*(B57-B24)</f>
        <v>3.994518139018086</v>
      </c>
      <c r="C60" s="4">
        <f aca="true" t="shared" si="44" ref="C60:Z60">C27+C50*(C57-C24)</f>
        <v>3.804226065180617</v>
      </c>
      <c r="D60" s="4">
        <f t="shared" si="44"/>
        <v>3.354682271781697</v>
      </c>
      <c r="E60" s="4">
        <f t="shared" si="44"/>
        <v>2.6765224254354343</v>
      </c>
      <c r="F60" s="4">
        <f t="shared" si="44"/>
        <v>1.8159619989581874</v>
      </c>
      <c r="G60" s="4">
        <f t="shared" si="44"/>
        <v>0.8316467632710373</v>
      </c>
      <c r="H60" s="4">
        <f t="shared" si="44"/>
        <v>-0.2093438249717742</v>
      </c>
      <c r="I60" s="4">
        <f t="shared" si="44"/>
        <v>-1.23606797749979</v>
      </c>
      <c r="J60" s="4">
        <f t="shared" si="44"/>
        <v>-2.1785561400601052</v>
      </c>
      <c r="K60" s="4">
        <f t="shared" si="44"/>
        <v>-2.9725793019095765</v>
      </c>
      <c r="L60" s="4">
        <f t="shared" si="44"/>
        <v>-3.564026096753471</v>
      </c>
      <c r="M60" s="8">
        <f t="shared" si="44"/>
        <v>-3.9125904029352303</v>
      </c>
      <c r="N60" s="11">
        <f t="shared" si="44"/>
        <v>1.333942676404701</v>
      </c>
      <c r="O60" s="11">
        <f t="shared" si="44"/>
        <v>1.355404874150627</v>
      </c>
      <c r="P60" s="11">
        <f t="shared" si="44"/>
        <v>1.4085848957554212</v>
      </c>
      <c r="Q60" s="11">
        <f t="shared" si="44"/>
        <v>1.4958312807755498</v>
      </c>
      <c r="R60" s="11">
        <f t="shared" si="44"/>
        <v>1.6195381240084663</v>
      </c>
      <c r="S60" s="11">
        <f t="shared" si="44"/>
        <v>1.7782438415155948</v>
      </c>
      <c r="T60" s="11">
        <f t="shared" si="44"/>
        <v>1.9546443130581874</v>
      </c>
      <c r="U60" s="11">
        <f t="shared" si="44"/>
        <v>2.0793814618391977</v>
      </c>
      <c r="V60" s="11">
        <f t="shared" si="44"/>
        <v>1.9246995053428457</v>
      </c>
      <c r="W60" s="11">
        <f t="shared" si="44"/>
        <v>0.829914773273861</v>
      </c>
      <c r="X60" s="11">
        <f t="shared" si="44"/>
        <v>-2.6480774525411235</v>
      </c>
      <c r="Y60" s="11">
        <f t="shared" si="44"/>
        <v>-9.039510319570432</v>
      </c>
      <c r="Z60" s="11">
        <f t="shared" si="44"/>
        <v>3.994518139018073</v>
      </c>
    </row>
    <row r="61" spans="1:26" s="11" customFormat="1" ht="12.75">
      <c r="A61" s="51" t="s">
        <v>22</v>
      </c>
      <c r="B61" s="4">
        <f>B28-B54*(B58-B25)-B50*(B60-B27)</f>
        <v>-3.9945181390182953</v>
      </c>
      <c r="C61" s="4">
        <f aca="true" t="shared" si="45" ref="C61:Z61">C28-C54*(C58-C25)-C50*(C60-C27)</f>
        <v>-3.804226065180614</v>
      </c>
      <c r="D61" s="4">
        <f t="shared" si="45"/>
        <v>-3.354682271781696</v>
      </c>
      <c r="E61" s="4">
        <f t="shared" si="45"/>
        <v>-2.676522425435433</v>
      </c>
      <c r="F61" s="4">
        <f t="shared" si="45"/>
        <v>-1.8159619989581874</v>
      </c>
      <c r="G61" s="4">
        <f t="shared" si="45"/>
        <v>-0.8316467632710373</v>
      </c>
      <c r="H61" s="4">
        <f t="shared" si="45"/>
        <v>0.2093438249717751</v>
      </c>
      <c r="I61" s="4">
        <f t="shared" si="45"/>
        <v>1.23606797749979</v>
      </c>
      <c r="J61" s="4">
        <f t="shared" si="45"/>
        <v>2.1785561400601074</v>
      </c>
      <c r="K61" s="4">
        <f t="shared" si="45"/>
        <v>2.9725793019095765</v>
      </c>
      <c r="L61" s="4">
        <f t="shared" si="45"/>
        <v>3.564026096753471</v>
      </c>
      <c r="M61" s="8">
        <f t="shared" si="45"/>
        <v>3.912590402935222</v>
      </c>
      <c r="N61" s="11">
        <f t="shared" si="45"/>
        <v>0.4454605939911467</v>
      </c>
      <c r="O61" s="11">
        <f t="shared" si="45"/>
        <v>0.4819970557741886</v>
      </c>
      <c r="P61" s="11">
        <f t="shared" si="45"/>
        <v>0.5790418421328378</v>
      </c>
      <c r="Q61" s="11">
        <f t="shared" si="45"/>
        <v>0.7603725674111734</v>
      </c>
      <c r="R61" s="11">
        <f t="shared" si="45"/>
        <v>1.0738584267332068</v>
      </c>
      <c r="S61" s="11">
        <f t="shared" si="45"/>
        <v>1.609490456521936</v>
      </c>
      <c r="T61" s="11">
        <f t="shared" si="45"/>
        <v>2.5301651148135345</v>
      </c>
      <c r="U61" s="11">
        <f t="shared" si="45"/>
        <v>4.099933587208639</v>
      </c>
      <c r="V61" s="11">
        <f t="shared" si="45"/>
        <v>6.556032518926766</v>
      </c>
      <c r="W61" s="11">
        <f t="shared" si="45"/>
        <v>8.964680102383866</v>
      </c>
      <c r="X61" s="11">
        <f t="shared" si="45"/>
        <v>4.491134643566288</v>
      </c>
      <c r="Y61" s="11">
        <f t="shared" si="45"/>
        <v>-20.097589279423108</v>
      </c>
      <c r="Z61" s="11">
        <f t="shared" si="45"/>
        <v>-3.9945181390182953</v>
      </c>
    </row>
    <row r="62" spans="1:26" s="11" customFormat="1" ht="13.5" thickBot="1">
      <c r="A62" s="52" t="s">
        <v>21</v>
      </c>
      <c r="B62" s="5">
        <f>B29+B54*(B57-B24)+B50*(B59-B26)</f>
        <v>-0.20934382496381612</v>
      </c>
      <c r="C62" s="5">
        <f aca="true" t="shared" si="46" ref="C62:Z62">C29+C54*(C57-C24)+C50*(C59-C26)</f>
        <v>-1.236067977499806</v>
      </c>
      <c r="D62" s="5">
        <f t="shared" si="46"/>
        <v>-2.178556140060108</v>
      </c>
      <c r="E62" s="5">
        <f t="shared" si="46"/>
        <v>-2.9725793019095765</v>
      </c>
      <c r="F62" s="5">
        <f t="shared" si="46"/>
        <v>-3.564026096753471</v>
      </c>
      <c r="G62" s="5">
        <f t="shared" si="46"/>
        <v>-3.9125904029352223</v>
      </c>
      <c r="H62" s="5">
        <f t="shared" si="46"/>
        <v>-3.9945181390182953</v>
      </c>
      <c r="I62" s="5">
        <f t="shared" si="46"/>
        <v>-3.804226065180614</v>
      </c>
      <c r="J62" s="5">
        <f t="shared" si="46"/>
        <v>-3.354682271781696</v>
      </c>
      <c r="K62" s="5">
        <f t="shared" si="46"/>
        <v>-2.676522425435433</v>
      </c>
      <c r="L62" s="5">
        <f t="shared" si="46"/>
        <v>-1.8159619989581868</v>
      </c>
      <c r="M62" s="9">
        <f t="shared" si="46"/>
        <v>-0.8316467632711219</v>
      </c>
      <c r="N62" s="11">
        <f t="shared" si="46"/>
        <v>0.023279324068972707</v>
      </c>
      <c r="O62" s="11">
        <f t="shared" si="46"/>
        <v>0.1413891917719614</v>
      </c>
      <c r="P62" s="11">
        <f t="shared" si="46"/>
        <v>0.2664352612333454</v>
      </c>
      <c r="Q62" s="11">
        <f t="shared" si="46"/>
        <v>0.40181021687574825</v>
      </c>
      <c r="R62" s="11">
        <f t="shared" si="46"/>
        <v>0.5429521553004417</v>
      </c>
      <c r="S62" s="11">
        <f t="shared" si="46"/>
        <v>0.6604006136115423</v>
      </c>
      <c r="T62" s="11">
        <f t="shared" si="46"/>
        <v>0.648868986846628</v>
      </c>
      <c r="U62" s="11">
        <f t="shared" si="46"/>
        <v>0.17542684743802972</v>
      </c>
      <c r="V62" s="11">
        <f t="shared" si="46"/>
        <v>-1.7442886183742812</v>
      </c>
      <c r="W62" s="11">
        <f t="shared" si="46"/>
        <v>-7.5760542002933375</v>
      </c>
      <c r="X62" s="11">
        <f t="shared" si="46"/>
        <v>-19.907689897269634</v>
      </c>
      <c r="Y62" s="11">
        <f t="shared" si="46"/>
        <v>-24.376557426173736</v>
      </c>
      <c r="Z62" s="11">
        <f t="shared" si="46"/>
        <v>-0.2093438249639509</v>
      </c>
    </row>
    <row r="63" spans="1:13" s="11" customFormat="1" ht="16.5" thickBot="1">
      <c r="A63" s="61"/>
      <c r="B63" s="54"/>
      <c r="C63" s="54"/>
      <c r="D63" s="54"/>
      <c r="E63" s="54"/>
      <c r="F63" s="55" t="s">
        <v>10</v>
      </c>
      <c r="G63" s="54"/>
      <c r="H63" s="54"/>
      <c r="I63" s="54"/>
      <c r="J63" s="54"/>
      <c r="K63" s="54"/>
      <c r="L63" s="54"/>
      <c r="M63" s="56"/>
    </row>
    <row r="64" spans="1:26" s="11" customFormat="1" ht="12.75">
      <c r="A64" s="50" t="s">
        <v>34</v>
      </c>
      <c r="B64" s="3">
        <f aca="true" t="shared" si="47" ref="B64:Z64">B24+($B$11-$B$7)*COS(B48-$B$48)-($D$11-$D$7)*SIN(B48-$B$48)</f>
        <v>6</v>
      </c>
      <c r="C64" s="3">
        <f t="shared" si="47"/>
        <v>5.809707926162312</v>
      </c>
      <c r="D64" s="3">
        <f t="shared" si="47"/>
        <v>5.360164132763394</v>
      </c>
      <c r="E64" s="3">
        <f t="shared" si="47"/>
        <v>4.682004286417132</v>
      </c>
      <c r="F64" s="3">
        <f t="shared" si="47"/>
        <v>3.821443859939884</v>
      </c>
      <c r="G64" s="3">
        <f t="shared" si="47"/>
        <v>2.837128624252733</v>
      </c>
      <c r="H64" s="3">
        <f t="shared" si="47"/>
        <v>1.7961380360099226</v>
      </c>
      <c r="I64" s="3">
        <f t="shared" si="47"/>
        <v>0.7694138834819064</v>
      </c>
      <c r="J64" s="3">
        <f t="shared" si="47"/>
        <v>-0.17307427907841322</v>
      </c>
      <c r="K64" s="3">
        <f t="shared" si="47"/>
        <v>-0.9670974409278785</v>
      </c>
      <c r="L64" s="3">
        <f t="shared" si="47"/>
        <v>-1.5585442357717731</v>
      </c>
      <c r="M64" s="6">
        <f t="shared" si="47"/>
        <v>-1.9071085419535203</v>
      </c>
      <c r="N64" s="11">
        <f t="shared" si="47"/>
        <v>-2.297016045872842</v>
      </c>
      <c r="O64" s="11">
        <f t="shared" si="47"/>
        <v>-3.663289649627411</v>
      </c>
      <c r="P64" s="11">
        <f t="shared" si="47"/>
        <v>-4.745066343437813</v>
      </c>
      <c r="Q64" s="11">
        <f t="shared" si="47"/>
        <v>-5.502464532153528</v>
      </c>
      <c r="R64" s="11">
        <f t="shared" si="47"/>
        <v>-5.917643408790191</v>
      </c>
      <c r="S64" s="11">
        <f t="shared" si="47"/>
        <v>-5.995203318292298</v>
      </c>
      <c r="T64" s="11">
        <f t="shared" si="47"/>
        <v>-5.758098659050332</v>
      </c>
      <c r="U64" s="11">
        <f t="shared" si="47"/>
        <v>-5.234314197092433</v>
      </c>
      <c r="V64" s="11">
        <f t="shared" si="47"/>
        <v>-4.421619398317059</v>
      </c>
      <c r="W64" s="11">
        <f t="shared" si="47"/>
        <v>-3.2006756358381088</v>
      </c>
      <c r="X64" s="11">
        <f t="shared" si="47"/>
        <v>-1.1704449759000655</v>
      </c>
      <c r="Y64" s="11">
        <f t="shared" si="47"/>
        <v>2.3236384838822763</v>
      </c>
      <c r="Z64" s="11">
        <f t="shared" si="47"/>
        <v>6</v>
      </c>
    </row>
    <row r="65" spans="1:26" s="11" customFormat="1" ht="12.75">
      <c r="A65" s="51" t="s">
        <v>24</v>
      </c>
      <c r="B65" s="4">
        <f aca="true" t="shared" si="48" ref="B65:Z65">B25+($B$11-$B$7)*SIN(B48-$B$48)+($D$11-$D$7)*COS(B48-$B$48)</f>
        <v>9</v>
      </c>
      <c r="C65" s="4">
        <f t="shared" si="48"/>
        <v>10.026724152528017</v>
      </c>
      <c r="D65" s="4">
        <f t="shared" si="48"/>
        <v>10.969212315088335</v>
      </c>
      <c r="E65" s="4">
        <f t="shared" si="48"/>
        <v>11.763235476937803</v>
      </c>
      <c r="F65" s="4">
        <f t="shared" si="48"/>
        <v>12.354682271781698</v>
      </c>
      <c r="G65" s="4">
        <f t="shared" si="48"/>
        <v>12.70324657796345</v>
      </c>
      <c r="H65" s="4">
        <f t="shared" si="48"/>
        <v>12.785174314046522</v>
      </c>
      <c r="I65" s="4">
        <f t="shared" si="48"/>
        <v>12.594882240208841</v>
      </c>
      <c r="J65" s="4">
        <f t="shared" si="48"/>
        <v>12.145338446809923</v>
      </c>
      <c r="K65" s="4">
        <f t="shared" si="48"/>
        <v>11.46717860046366</v>
      </c>
      <c r="L65" s="4">
        <f t="shared" si="48"/>
        <v>10.606618173986414</v>
      </c>
      <c r="M65" s="8">
        <f t="shared" si="48"/>
        <v>9.622302938299264</v>
      </c>
      <c r="N65" s="11">
        <f t="shared" si="48"/>
        <v>8.64594160950493</v>
      </c>
      <c r="O65" s="11">
        <f t="shared" si="48"/>
        <v>7.779348286270814</v>
      </c>
      <c r="P65" s="11">
        <f t="shared" si="48"/>
        <v>6.7301152320117925</v>
      </c>
      <c r="Q65" s="11">
        <f t="shared" si="48"/>
        <v>5.589642646379676</v>
      </c>
      <c r="R65" s="11">
        <f t="shared" si="48"/>
        <v>4.465531991617712</v>
      </c>
      <c r="S65" s="11">
        <f t="shared" si="48"/>
        <v>3.478977575875869</v>
      </c>
      <c r="T65" s="11">
        <f t="shared" si="48"/>
        <v>2.7647143382809265</v>
      </c>
      <c r="U65" s="11">
        <f t="shared" si="48"/>
        <v>2.475244294412441</v>
      </c>
      <c r="V65" s="11">
        <f t="shared" si="48"/>
        <v>2.788222281025238</v>
      </c>
      <c r="W65" s="11">
        <f t="shared" si="48"/>
        <v>3.895274661805038</v>
      </c>
      <c r="X65" s="11">
        <f t="shared" si="48"/>
        <v>5.857523333307416</v>
      </c>
      <c r="Y65" s="11">
        <f t="shared" si="48"/>
        <v>8.043758877105434</v>
      </c>
      <c r="Z65" s="11">
        <f t="shared" si="48"/>
        <v>9</v>
      </c>
    </row>
    <row r="66" spans="1:26" s="11" customFormat="1" ht="12.75">
      <c r="A66" s="51" t="s">
        <v>23</v>
      </c>
      <c r="B66" s="4">
        <f>B26-B50*(B65-B25)</f>
        <v>-0.20934382497154574</v>
      </c>
      <c r="C66" s="4">
        <f aca="true" t="shared" si="49" ref="C66:Z66">C26-C50*(C65-C25)</f>
        <v>-1.2360679774997927</v>
      </c>
      <c r="D66" s="4">
        <f t="shared" si="49"/>
        <v>-2.178556140060109</v>
      </c>
      <c r="E66" s="62">
        <f t="shared" si="49"/>
        <v>-2.972579301909578</v>
      </c>
      <c r="F66" s="4">
        <f t="shared" si="49"/>
        <v>-3.564026096753471</v>
      </c>
      <c r="G66" s="4">
        <f t="shared" si="49"/>
        <v>-3.9125904029352223</v>
      </c>
      <c r="H66" s="4">
        <f t="shared" si="49"/>
        <v>-3.994518139018296</v>
      </c>
      <c r="I66" s="4">
        <f t="shared" si="49"/>
        <v>-3.804226065180614</v>
      </c>
      <c r="J66" s="4">
        <f t="shared" si="49"/>
        <v>-3.3546822717816984</v>
      </c>
      <c r="K66" s="4">
        <f t="shared" si="49"/>
        <v>-2.676522425435433</v>
      </c>
      <c r="L66" s="4">
        <f t="shared" si="49"/>
        <v>-1.8159619989581868</v>
      </c>
      <c r="M66" s="8">
        <f t="shared" si="49"/>
        <v>-0.831646763271029</v>
      </c>
      <c r="N66" s="11">
        <f t="shared" si="49"/>
        <v>-5.692380796926217</v>
      </c>
      <c r="O66" s="11">
        <f t="shared" si="49"/>
        <v>-4.707386186356588</v>
      </c>
      <c r="P66" s="11">
        <f t="shared" si="49"/>
        <v>-3.531188780136537</v>
      </c>
      <c r="Q66" s="11">
        <f t="shared" si="49"/>
        <v>-2.2435095380131327</v>
      </c>
      <c r="R66" s="11">
        <f t="shared" si="49"/>
        <v>-0.9313758051842367</v>
      </c>
      <c r="S66" s="11">
        <f t="shared" si="49"/>
        <v>0.3234996379523616</v>
      </c>
      <c r="T66" s="11">
        <f t="shared" si="49"/>
        <v>1.4680455783244857</v>
      </c>
      <c r="U66" s="11">
        <f t="shared" si="49"/>
        <v>2.5297374550362797</v>
      </c>
      <c r="V66" s="11">
        <f t="shared" si="49"/>
        <v>3.7434383059812313</v>
      </c>
      <c r="W66" s="11">
        <f t="shared" si="49"/>
        <v>5.829096446910015</v>
      </c>
      <c r="X66" s="11">
        <f t="shared" si="49"/>
        <v>10.173726221263802</v>
      </c>
      <c r="Y66" s="11">
        <f t="shared" si="49"/>
        <v>16.442154244317283</v>
      </c>
      <c r="Z66" s="11">
        <f t="shared" si="49"/>
        <v>-0.20934382497153</v>
      </c>
    </row>
    <row r="67" spans="1:26" s="11" customFormat="1" ht="12.75">
      <c r="A67" s="51" t="s">
        <v>33</v>
      </c>
      <c r="B67" s="4">
        <f>B27+B50*(B64-B24)</f>
        <v>3.994518139018243</v>
      </c>
      <c r="C67" s="4">
        <f aca="true" t="shared" si="50" ref="C67:Z67">C27+C50*(C64-C24)</f>
        <v>3.804226065180615</v>
      </c>
      <c r="D67" s="4">
        <f t="shared" si="50"/>
        <v>3.354682271781696</v>
      </c>
      <c r="E67" s="4">
        <f t="shared" si="50"/>
        <v>2.6765224254354334</v>
      </c>
      <c r="F67" s="4">
        <f t="shared" si="50"/>
        <v>1.8159619989581874</v>
      </c>
      <c r="G67" s="4">
        <f t="shared" si="50"/>
        <v>0.8316467632710373</v>
      </c>
      <c r="H67" s="4">
        <f t="shared" si="50"/>
        <v>-0.20934382497177487</v>
      </c>
      <c r="I67" s="4">
        <f t="shared" si="50"/>
        <v>-1.23606797749979</v>
      </c>
      <c r="J67" s="4">
        <f t="shared" si="50"/>
        <v>-2.178556140060107</v>
      </c>
      <c r="K67" s="4">
        <f t="shared" si="50"/>
        <v>-2.9725793019095765</v>
      </c>
      <c r="L67" s="4">
        <f t="shared" si="50"/>
        <v>-3.564026096753471</v>
      </c>
      <c r="M67" s="8">
        <f t="shared" si="50"/>
        <v>-3.912590402935224</v>
      </c>
      <c r="N67" s="11">
        <f t="shared" si="50"/>
        <v>-2.8631949340275673</v>
      </c>
      <c r="O67" s="11">
        <f t="shared" si="50"/>
        <v>-3.711313092406982</v>
      </c>
      <c r="P67" s="11">
        <f t="shared" si="50"/>
        <v>-4.245807116183103</v>
      </c>
      <c r="Q67" s="11">
        <f t="shared" si="50"/>
        <v>-4.398080821625464</v>
      </c>
      <c r="R67" s="11">
        <f t="shared" si="50"/>
        <v>-4.112315821667959</v>
      </c>
      <c r="S67" s="11">
        <f t="shared" si="50"/>
        <v>-3.3388919376669586</v>
      </c>
      <c r="T67" s="11">
        <f t="shared" si="50"/>
        <v>-2.021172693587814</v>
      </c>
      <c r="U67" s="11">
        <f t="shared" si="50"/>
        <v>-0.07716831673652003</v>
      </c>
      <c r="V67" s="11">
        <f t="shared" si="50"/>
        <v>2.5962507412480527</v>
      </c>
      <c r="W67" s="11">
        <f t="shared" si="50"/>
        <v>5.933967623297185</v>
      </c>
      <c r="X67" s="11">
        <f t="shared" si="50"/>
        <v>8.720691057873768</v>
      </c>
      <c r="Y67" s="11">
        <f t="shared" si="50"/>
        <v>6.7073185341833925</v>
      </c>
      <c r="Z67" s="11">
        <f t="shared" si="50"/>
        <v>3.9945181390182394</v>
      </c>
    </row>
    <row r="68" spans="1:26" s="11" customFormat="1" ht="12.75">
      <c r="A68" s="51" t="s">
        <v>22</v>
      </c>
      <c r="B68" s="4">
        <f>B28-B54*(B65-B25)-B50*(B67-B27)</f>
        <v>-3.9945181390270412</v>
      </c>
      <c r="C68" s="4">
        <f aca="true" t="shared" si="51" ref="C68:Z68">C28-C54*(C65-C25)-C50*(C67-C27)</f>
        <v>-3.804226065180596</v>
      </c>
      <c r="D68" s="4">
        <f t="shared" si="51"/>
        <v>-3.354682271781696</v>
      </c>
      <c r="E68" s="4">
        <f t="shared" si="51"/>
        <v>-2.676522425435433</v>
      </c>
      <c r="F68" s="4">
        <f t="shared" si="51"/>
        <v>-1.8159619989581874</v>
      </c>
      <c r="G68" s="4">
        <f t="shared" si="51"/>
        <v>-0.8316467632710373</v>
      </c>
      <c r="H68" s="4">
        <f t="shared" si="51"/>
        <v>0.20934382497177503</v>
      </c>
      <c r="I68" s="4">
        <f t="shared" si="51"/>
        <v>1.23606797749979</v>
      </c>
      <c r="J68" s="4">
        <f t="shared" si="51"/>
        <v>2.1785561400601074</v>
      </c>
      <c r="K68" s="4">
        <f t="shared" si="51"/>
        <v>2.9725793019095765</v>
      </c>
      <c r="L68" s="4">
        <f t="shared" si="51"/>
        <v>3.564026096753471</v>
      </c>
      <c r="M68" s="8">
        <f t="shared" si="51"/>
        <v>3.9125904029353133</v>
      </c>
      <c r="N68" s="11">
        <f t="shared" si="51"/>
        <v>3.309275454478618</v>
      </c>
      <c r="O68" s="11">
        <f t="shared" si="51"/>
        <v>4.174260416560484</v>
      </c>
      <c r="P68" s="11">
        <f t="shared" si="51"/>
        <v>4.759969856355527</v>
      </c>
      <c r="Q68" s="11">
        <f t="shared" si="51"/>
        <v>5.021015344027181</v>
      </c>
      <c r="R68" s="11">
        <f t="shared" si="51"/>
        <v>4.94958037965619</v>
      </c>
      <c r="S68" s="11">
        <f t="shared" si="51"/>
        <v>4.600250972192993</v>
      </c>
      <c r="T68" s="11">
        <f t="shared" si="51"/>
        <v>4.1537170332472835</v>
      </c>
      <c r="U68" s="11">
        <f t="shared" si="51"/>
        <v>4.089029597447607</v>
      </c>
      <c r="V68" s="11">
        <f t="shared" si="51"/>
        <v>5.6139887425115695</v>
      </c>
      <c r="W68" s="11">
        <f t="shared" si="51"/>
        <v>11.285774851847469</v>
      </c>
      <c r="X68" s="11">
        <f t="shared" si="51"/>
        <v>22.325928082964268</v>
      </c>
      <c r="Y68" s="11">
        <f t="shared" si="51"/>
        <v>19.729651366128465</v>
      </c>
      <c r="Z68" s="11">
        <f t="shared" si="51"/>
        <v>-3.994518139026892</v>
      </c>
    </row>
    <row r="69" spans="1:26" s="11" customFormat="1" ht="13.5" thickBot="1">
      <c r="A69" s="52" t="s">
        <v>21</v>
      </c>
      <c r="B69" s="5">
        <f>B29+B54*(B64-B24)+B50*(B66-B26)</f>
        <v>-0.20934382496978007</v>
      </c>
      <c r="C69" s="5">
        <f aca="true" t="shared" si="52" ref="C69:Z69">C29+C54*(C64-C24)+C50*(C66-C26)</f>
        <v>-1.2360679774997938</v>
      </c>
      <c r="D69" s="5">
        <f t="shared" si="52"/>
        <v>-2.178556140060108</v>
      </c>
      <c r="E69" s="5">
        <f t="shared" si="52"/>
        <v>-2.9725793019095765</v>
      </c>
      <c r="F69" s="5">
        <f t="shared" si="52"/>
        <v>-3.564026096753471</v>
      </c>
      <c r="G69" s="5">
        <f t="shared" si="52"/>
        <v>-3.9125904029352223</v>
      </c>
      <c r="H69" s="5">
        <f t="shared" si="52"/>
        <v>-3.9945181390182953</v>
      </c>
      <c r="I69" s="5">
        <f t="shared" si="52"/>
        <v>-3.804226065180614</v>
      </c>
      <c r="J69" s="5">
        <f t="shared" si="52"/>
        <v>-3.354682271781696</v>
      </c>
      <c r="K69" s="5">
        <f t="shared" si="52"/>
        <v>-2.676522425435433</v>
      </c>
      <c r="L69" s="5">
        <f t="shared" si="52"/>
        <v>-1.8159619989581868</v>
      </c>
      <c r="M69" s="9">
        <f t="shared" si="52"/>
        <v>-0.8316467632710594</v>
      </c>
      <c r="N69" s="11">
        <f t="shared" si="52"/>
        <v>-3.7371178756853007</v>
      </c>
      <c r="O69" s="11">
        <f t="shared" si="52"/>
        <v>-2.6889234480971016</v>
      </c>
      <c r="P69" s="11">
        <f t="shared" si="52"/>
        <v>-1.3507469125701639</v>
      </c>
      <c r="Q69" s="11">
        <f t="shared" si="52"/>
        <v>0.2225986330935421</v>
      </c>
      <c r="R69" s="11">
        <f t="shared" si="52"/>
        <v>1.9912403042586484</v>
      </c>
      <c r="S69" s="11">
        <f t="shared" si="52"/>
        <v>3.952034007225754</v>
      </c>
      <c r="T69" s="11">
        <f t="shared" si="52"/>
        <v>6.166073450290757</v>
      </c>
      <c r="U69" s="11">
        <f t="shared" si="52"/>
        <v>8.75790907723525</v>
      </c>
      <c r="V69" s="11">
        <f t="shared" si="52"/>
        <v>11.674291284478315</v>
      </c>
      <c r="W69" s="11">
        <f t="shared" si="52"/>
        <v>13.223395755940675</v>
      </c>
      <c r="X69" s="11">
        <f t="shared" si="52"/>
        <v>5.221431832779597</v>
      </c>
      <c r="Y69" s="11">
        <f t="shared" si="52"/>
        <v>-23.272272807513655</v>
      </c>
      <c r="Z69" s="11">
        <f t="shared" si="52"/>
        <v>-0.20934382496981313</v>
      </c>
    </row>
    <row r="70" spans="1:26" s="11" customFormat="1" ht="12.75">
      <c r="A70" s="50" t="s">
        <v>43</v>
      </c>
      <c r="B70" s="3">
        <f aca="true" t="shared" si="53" ref="B70:Z70">1/2*$D$5*(B66^2+B67^2)+1/2*$D$13*B50^2</f>
        <v>31.99999999999897</v>
      </c>
      <c r="C70" s="3">
        <f t="shared" si="53"/>
        <v>32.00000000000003</v>
      </c>
      <c r="D70" s="3">
        <f t="shared" si="53"/>
        <v>32.00000000000001</v>
      </c>
      <c r="E70" s="3">
        <f t="shared" si="53"/>
        <v>32.000000000000014</v>
      </c>
      <c r="F70" s="3">
        <f t="shared" si="53"/>
        <v>32</v>
      </c>
      <c r="G70" s="3">
        <f t="shared" si="53"/>
        <v>31.999999999999996</v>
      </c>
      <c r="H70" s="3">
        <f t="shared" si="53"/>
        <v>32.00000000000001</v>
      </c>
      <c r="I70" s="3">
        <f t="shared" si="53"/>
        <v>32</v>
      </c>
      <c r="J70" s="3">
        <f t="shared" si="53"/>
        <v>32.00000000000002</v>
      </c>
      <c r="K70" s="3">
        <f t="shared" si="53"/>
        <v>31.999999999999993</v>
      </c>
      <c r="L70" s="3">
        <f t="shared" si="53"/>
        <v>31.999999999999993</v>
      </c>
      <c r="M70" s="6">
        <f t="shared" si="53"/>
        <v>31.999999999999996</v>
      </c>
      <c r="N70" s="7">
        <f t="shared" si="53"/>
        <v>82.09051595799905</v>
      </c>
      <c r="O70" s="7">
        <f t="shared" si="53"/>
        <v>72.73589226989378</v>
      </c>
      <c r="P70" s="7">
        <f t="shared" si="53"/>
        <v>61.813901218702675</v>
      </c>
      <c r="Q70" s="7">
        <f t="shared" si="53"/>
        <v>49.49514442841578</v>
      </c>
      <c r="R70" s="7">
        <f t="shared" si="53"/>
        <v>36.18408366658194</v>
      </c>
      <c r="S70" s="7">
        <f t="shared" si="53"/>
        <v>22.977250579459582</v>
      </c>
      <c r="T70" s="7">
        <f t="shared" si="53"/>
        <v>12.76001820141302</v>
      </c>
      <c r="U70" s="7">
        <f t="shared" si="53"/>
        <v>12.893439548795136</v>
      </c>
      <c r="V70" s="7">
        <f t="shared" si="53"/>
        <v>41.51570660227393</v>
      </c>
      <c r="W70" s="7">
        <f t="shared" si="53"/>
        <v>138.84092268562318</v>
      </c>
      <c r="X70" s="7">
        <f t="shared" si="53"/>
        <v>361.4829175010533</v>
      </c>
      <c r="Y70" s="7">
        <f t="shared" si="53"/>
        <v>636.8522230852393</v>
      </c>
      <c r="Z70" s="7">
        <f t="shared" si="53"/>
        <v>31.9999999999989</v>
      </c>
    </row>
    <row r="71" spans="1:26" s="11" customFormat="1" ht="15.75">
      <c r="A71" s="1" t="s">
        <v>37</v>
      </c>
      <c r="B71" s="4">
        <f>$D$5*B68</f>
        <v>-15.978072556108165</v>
      </c>
      <c r="C71" s="4">
        <f aca="true" t="shared" si="54" ref="C71:Z71">$D$5*C68</f>
        <v>-15.216904260722384</v>
      </c>
      <c r="D71" s="4">
        <f t="shared" si="54"/>
        <v>-13.418729087126785</v>
      </c>
      <c r="E71" s="4">
        <f t="shared" si="54"/>
        <v>-10.706089701741732</v>
      </c>
      <c r="F71" s="4">
        <f t="shared" si="54"/>
        <v>-7.26384799583275</v>
      </c>
      <c r="G71" s="4">
        <f t="shared" si="54"/>
        <v>-3.326587053084149</v>
      </c>
      <c r="H71" s="4">
        <f t="shared" si="54"/>
        <v>0.8373752998871001</v>
      </c>
      <c r="I71" s="4">
        <f t="shared" si="54"/>
        <v>4.94427190999916</v>
      </c>
      <c r="J71" s="4">
        <f t="shared" si="54"/>
        <v>8.71422456024043</v>
      </c>
      <c r="K71" s="4">
        <f t="shared" si="54"/>
        <v>11.890317207638306</v>
      </c>
      <c r="L71" s="4">
        <f t="shared" si="54"/>
        <v>14.256104387013885</v>
      </c>
      <c r="M71" s="8">
        <f t="shared" si="54"/>
        <v>15.650361611741253</v>
      </c>
      <c r="N71" s="7">
        <f t="shared" si="54"/>
        <v>13.237101817914471</v>
      </c>
      <c r="O71" s="7">
        <f t="shared" si="54"/>
        <v>16.697041666241937</v>
      </c>
      <c r="P71" s="7">
        <f t="shared" si="54"/>
        <v>19.039879425422107</v>
      </c>
      <c r="Q71" s="7">
        <f t="shared" si="54"/>
        <v>20.084061376108725</v>
      </c>
      <c r="R71" s="7">
        <f t="shared" si="54"/>
        <v>19.79832151862476</v>
      </c>
      <c r="S71" s="7">
        <f t="shared" si="54"/>
        <v>18.40100388877197</v>
      </c>
      <c r="T71" s="7">
        <f t="shared" si="54"/>
        <v>16.614868132989134</v>
      </c>
      <c r="U71" s="7">
        <f t="shared" si="54"/>
        <v>16.356118389790428</v>
      </c>
      <c r="V71" s="7">
        <f t="shared" si="54"/>
        <v>22.455954970046278</v>
      </c>
      <c r="W71" s="7">
        <f t="shared" si="54"/>
        <v>45.143099407389876</v>
      </c>
      <c r="X71" s="7">
        <f t="shared" si="54"/>
        <v>89.30371233185707</v>
      </c>
      <c r="Y71" s="7">
        <f t="shared" si="54"/>
        <v>78.91860546451386</v>
      </c>
      <c r="Z71" s="7">
        <f t="shared" si="54"/>
        <v>-15.978072556107568</v>
      </c>
    </row>
    <row r="72" spans="1:26" s="11" customFormat="1" ht="15.75">
      <c r="A72" s="1" t="s">
        <v>38</v>
      </c>
      <c r="B72" s="4">
        <f>$D$5*B69</f>
        <v>-0.8373752998791203</v>
      </c>
      <c r="C72" s="4">
        <f aca="true" t="shared" si="55" ref="C72:Z72">$D$5*C69</f>
        <v>-4.944271909999175</v>
      </c>
      <c r="D72" s="4">
        <f t="shared" si="55"/>
        <v>-8.714224560240432</v>
      </c>
      <c r="E72" s="4">
        <f t="shared" si="55"/>
        <v>-11.890317207638306</v>
      </c>
      <c r="F72" s="4">
        <f t="shared" si="55"/>
        <v>-14.256104387013885</v>
      </c>
      <c r="G72" s="4">
        <f t="shared" si="55"/>
        <v>-15.65036161174089</v>
      </c>
      <c r="H72" s="4">
        <f t="shared" si="55"/>
        <v>-15.978072556073181</v>
      </c>
      <c r="I72" s="4">
        <f t="shared" si="55"/>
        <v>-15.216904260722456</v>
      </c>
      <c r="J72" s="4">
        <f t="shared" si="55"/>
        <v>-13.418729087126785</v>
      </c>
      <c r="K72" s="4">
        <f t="shared" si="55"/>
        <v>-10.706089701741732</v>
      </c>
      <c r="L72" s="4">
        <f t="shared" si="55"/>
        <v>-7.263847995832747</v>
      </c>
      <c r="M72" s="8">
        <f t="shared" si="55"/>
        <v>-3.3265870530842374</v>
      </c>
      <c r="N72" s="7">
        <f t="shared" si="55"/>
        <v>-14.948471502741203</v>
      </c>
      <c r="O72" s="7">
        <f t="shared" si="55"/>
        <v>-10.755693792388406</v>
      </c>
      <c r="P72" s="7">
        <f t="shared" si="55"/>
        <v>-5.4029876502806555</v>
      </c>
      <c r="Q72" s="7">
        <f t="shared" si="55"/>
        <v>0.8903945323741684</v>
      </c>
      <c r="R72" s="7">
        <f t="shared" si="55"/>
        <v>7.964961217034594</v>
      </c>
      <c r="S72" s="7">
        <f t="shared" si="55"/>
        <v>15.808136028903016</v>
      </c>
      <c r="T72" s="7">
        <f t="shared" si="55"/>
        <v>24.664293801163026</v>
      </c>
      <c r="U72" s="7">
        <f t="shared" si="55"/>
        <v>35.031636308941</v>
      </c>
      <c r="V72" s="7">
        <f t="shared" si="55"/>
        <v>46.69716513791326</v>
      </c>
      <c r="W72" s="7">
        <f t="shared" si="55"/>
        <v>52.8935830237627</v>
      </c>
      <c r="X72" s="7">
        <f t="shared" si="55"/>
        <v>20.88572733111839</v>
      </c>
      <c r="Y72" s="7">
        <f t="shared" si="55"/>
        <v>-93.08909123005462</v>
      </c>
      <c r="Z72" s="7">
        <f t="shared" si="55"/>
        <v>-0.8373752998792525</v>
      </c>
    </row>
    <row r="73" spans="1:26" s="11" customFormat="1" ht="16.5" thickBot="1">
      <c r="A73" s="2" t="s">
        <v>39</v>
      </c>
      <c r="B73" s="5">
        <f aca="true" t="shared" si="56" ref="B73:Z73">$D$13*B54</f>
        <v>3.9796041380241935E-12</v>
      </c>
      <c r="C73" s="5">
        <f t="shared" si="56"/>
        <v>-8.200596301156232E-15</v>
      </c>
      <c r="D73" s="5">
        <f t="shared" si="56"/>
        <v>0</v>
      </c>
      <c r="E73" s="5">
        <f t="shared" si="56"/>
        <v>0</v>
      </c>
      <c r="F73" s="5">
        <f t="shared" si="56"/>
        <v>0</v>
      </c>
      <c r="G73" s="5">
        <f t="shared" si="56"/>
        <v>0</v>
      </c>
      <c r="H73" s="5">
        <f t="shared" si="56"/>
        <v>2.3273729291802157E-17</v>
      </c>
      <c r="I73" s="5">
        <f t="shared" si="56"/>
        <v>0</v>
      </c>
      <c r="J73" s="5">
        <f t="shared" si="56"/>
        <v>0</v>
      </c>
      <c r="K73" s="5">
        <f t="shared" si="56"/>
        <v>0</v>
      </c>
      <c r="L73" s="5">
        <f t="shared" si="56"/>
        <v>0</v>
      </c>
      <c r="M73" s="9">
        <f t="shared" si="56"/>
        <v>-4.168456119605602E-14</v>
      </c>
      <c r="N73" s="7">
        <f t="shared" si="56"/>
        <v>-0.031051715400915142</v>
      </c>
      <c r="O73" s="7">
        <f t="shared" si="56"/>
        <v>-0.19135562397830944</v>
      </c>
      <c r="P73" s="7">
        <f t="shared" si="56"/>
        <v>-0.3745330310400841</v>
      </c>
      <c r="Q73" s="7">
        <f t="shared" si="56"/>
        <v>-0.605320872785109</v>
      </c>
      <c r="R73" s="7">
        <f t="shared" si="56"/>
        <v>-0.9205932803880401</v>
      </c>
      <c r="S73" s="7">
        <f t="shared" si="56"/>
        <v>-1.380585194472273</v>
      </c>
      <c r="T73" s="7">
        <f t="shared" si="56"/>
        <v>-2.088601753430572</v>
      </c>
      <c r="U73" s="7">
        <f t="shared" si="56"/>
        <v>-3.2222855235127974</v>
      </c>
      <c r="V73" s="7">
        <f t="shared" si="56"/>
        <v>-5.056963431713683</v>
      </c>
      <c r="W73" s="7">
        <f t="shared" si="56"/>
        <v>-7.813837598843225</v>
      </c>
      <c r="X73" s="7">
        <f t="shared" si="56"/>
        <v>-10.568051174351593</v>
      </c>
      <c r="Y73" s="7">
        <f t="shared" si="56"/>
        <v>-8.439832439909374</v>
      </c>
      <c r="Z73" s="7">
        <f t="shared" si="56"/>
        <v>3.911731055979793E-12</v>
      </c>
    </row>
    <row r="74" spans="1:13" s="11" customFormat="1" ht="16.5" thickBot="1">
      <c r="A74" s="61"/>
      <c r="B74" s="77"/>
      <c r="C74" s="77"/>
      <c r="D74" s="77"/>
      <c r="E74" s="77"/>
      <c r="F74" s="78"/>
      <c r="G74" s="78" t="s">
        <v>6</v>
      </c>
      <c r="H74" s="77"/>
      <c r="I74" s="77"/>
      <c r="J74" s="77"/>
      <c r="K74" s="77"/>
      <c r="L74" s="77"/>
      <c r="M74" s="79"/>
    </row>
    <row r="75" spans="1:26" s="11" customFormat="1" ht="12.75">
      <c r="A75" s="50" t="s">
        <v>34</v>
      </c>
      <c r="B75" s="3">
        <f aca="true" t="shared" si="57" ref="B75:Z75">B24+($B$9-$B$7)*COS(B48-$B$48)-($D$9-$D$7)*SIN(B48-$B$48)</f>
        <v>23.994518139018297</v>
      </c>
      <c r="C75" s="3">
        <f t="shared" si="57"/>
        <v>23.804226065180615</v>
      </c>
      <c r="D75" s="3">
        <f t="shared" si="57"/>
        <v>23.354682271781698</v>
      </c>
      <c r="E75" s="3">
        <f t="shared" si="57"/>
        <v>22.676522425435433</v>
      </c>
      <c r="F75" s="3">
        <f t="shared" si="57"/>
        <v>21.815961998958187</v>
      </c>
      <c r="G75" s="3">
        <f t="shared" si="57"/>
        <v>20.83164676327104</v>
      </c>
      <c r="H75" s="3">
        <f t="shared" si="57"/>
        <v>19.790656175028225</v>
      </c>
      <c r="I75" s="3">
        <f t="shared" si="57"/>
        <v>18.76393202250021</v>
      </c>
      <c r="J75" s="3">
        <f t="shared" si="57"/>
        <v>17.821443859939894</v>
      </c>
      <c r="K75" s="3">
        <f t="shared" si="57"/>
        <v>17.027420698090424</v>
      </c>
      <c r="L75" s="3">
        <f t="shared" si="57"/>
        <v>16.435973903246527</v>
      </c>
      <c r="M75" s="6">
        <f t="shared" si="57"/>
        <v>16.087409597064777</v>
      </c>
      <c r="N75" s="11">
        <f t="shared" si="57"/>
        <v>15.993300875748128</v>
      </c>
      <c r="O75" s="11">
        <f t="shared" si="57"/>
        <v>15.76192999621276</v>
      </c>
      <c r="P75" s="11">
        <f t="shared" si="57"/>
        <v>15.225124026949802</v>
      </c>
      <c r="Q75" s="11">
        <f t="shared" si="57"/>
        <v>14.445798328535394</v>
      </c>
      <c r="R75" s="11">
        <f t="shared" si="57"/>
        <v>13.52501774084915</v>
      </c>
      <c r="S75" s="11">
        <f t="shared" si="57"/>
        <v>12.605728526005674</v>
      </c>
      <c r="T75" s="11">
        <f t="shared" si="57"/>
        <v>11.88262688892899</v>
      </c>
      <c r="U75" s="11">
        <f t="shared" si="57"/>
        <v>11.623689307742096</v>
      </c>
      <c r="V75" s="11">
        <f t="shared" si="57"/>
        <v>12.206806121927414</v>
      </c>
      <c r="W75" s="11">
        <f t="shared" si="57"/>
        <v>14.13897572298026</v>
      </c>
      <c r="X75" s="11">
        <f t="shared" si="57"/>
        <v>17.822769284556962</v>
      </c>
      <c r="Y75" s="11">
        <f t="shared" si="57"/>
        <v>22.322489624152976</v>
      </c>
      <c r="Z75" s="11">
        <f t="shared" si="57"/>
        <v>23.994518139018297</v>
      </c>
    </row>
    <row r="76" spans="1:26" s="11" customFormat="1" ht="12.75">
      <c r="A76" s="51" t="s">
        <v>24</v>
      </c>
      <c r="B76" s="4">
        <f aca="true" t="shared" si="58" ref="B76:Z76">B25+($B$9-$B$7)*SIN(B48-$B$48)+($D$9-$D$7)*COS(B48-$B$48)</f>
        <v>0.20934382497175857</v>
      </c>
      <c r="C76" s="4">
        <f t="shared" si="58"/>
        <v>1.2360679774997898</v>
      </c>
      <c r="D76" s="4">
        <f t="shared" si="58"/>
        <v>2.178556140060108</v>
      </c>
      <c r="E76" s="4">
        <f t="shared" si="58"/>
        <v>2.9725793019095748</v>
      </c>
      <c r="F76" s="4">
        <f t="shared" si="58"/>
        <v>3.5640260967534725</v>
      </c>
      <c r="G76" s="4">
        <f t="shared" si="58"/>
        <v>3.912590402935226</v>
      </c>
      <c r="H76" s="4">
        <f t="shared" si="58"/>
        <v>3.994518139018294</v>
      </c>
      <c r="I76" s="4">
        <f t="shared" si="58"/>
        <v>3.804226065180616</v>
      </c>
      <c r="J76" s="4">
        <f t="shared" si="58"/>
        <v>3.354682271781703</v>
      </c>
      <c r="K76" s="4">
        <f t="shared" si="58"/>
        <v>2.676522425435431</v>
      </c>
      <c r="L76" s="4">
        <f t="shared" si="58"/>
        <v>1.8159619989581852</v>
      </c>
      <c r="M76" s="8">
        <f t="shared" si="58"/>
        <v>0.8316467632710289</v>
      </c>
      <c r="N76" s="11">
        <f t="shared" si="58"/>
        <v>0.4885752483754845</v>
      </c>
      <c r="O76" s="11">
        <f t="shared" si="58"/>
        <v>2.907063323967646</v>
      </c>
      <c r="P76" s="11">
        <f t="shared" si="58"/>
        <v>5.223524506732214</v>
      </c>
      <c r="Q76" s="11">
        <f t="shared" si="58"/>
        <v>7.3630934869387605</v>
      </c>
      <c r="R76" s="11">
        <f t="shared" si="58"/>
        <v>9.267744654893425</v>
      </c>
      <c r="S76" s="11">
        <f t="shared" si="58"/>
        <v>10.900813842380426</v>
      </c>
      <c r="T76" s="11">
        <f t="shared" si="58"/>
        <v>12.24538526305678</v>
      </c>
      <c r="U76" s="11">
        <f t="shared" si="58"/>
        <v>13.286628890013843</v>
      </c>
      <c r="V76" s="11">
        <f t="shared" si="58"/>
        <v>13.94948492289076</v>
      </c>
      <c r="W76" s="11">
        <f t="shared" si="58"/>
        <v>13.915993687785607</v>
      </c>
      <c r="X76" s="11">
        <f t="shared" si="58"/>
        <v>12.208596557526487</v>
      </c>
      <c r="Y76" s="11">
        <f t="shared" si="58"/>
        <v>6.983441890391568</v>
      </c>
      <c r="Z76" s="11">
        <f t="shared" si="58"/>
        <v>0.20934382497175663</v>
      </c>
    </row>
    <row r="77" spans="1:26" s="11" customFormat="1" ht="12.75">
      <c r="A77" s="51" t="s">
        <v>23</v>
      </c>
      <c r="B77" s="4">
        <f aca="true" t="shared" si="59" ref="B77:Z77">B26-B50*(B76-B25)</f>
        <v>-0.20934382497177534</v>
      </c>
      <c r="C77" s="4">
        <f t="shared" si="59"/>
        <v>-1.2360679774997896</v>
      </c>
      <c r="D77" s="4">
        <f t="shared" si="59"/>
        <v>-2.178556140060108</v>
      </c>
      <c r="E77" s="4">
        <f t="shared" si="59"/>
        <v>-2.9725793019095765</v>
      </c>
      <c r="F77" s="4">
        <f t="shared" si="59"/>
        <v>-3.564026096753471</v>
      </c>
      <c r="G77" s="4">
        <f t="shared" si="59"/>
        <v>-3.9125904029352223</v>
      </c>
      <c r="H77" s="4">
        <f t="shared" si="59"/>
        <v>-3.9945181390182953</v>
      </c>
      <c r="I77" s="4">
        <f t="shared" si="59"/>
        <v>-3.804226065180614</v>
      </c>
      <c r="J77" s="4">
        <f t="shared" si="59"/>
        <v>-3.354682271781696</v>
      </c>
      <c r="K77" s="4">
        <f t="shared" si="59"/>
        <v>-2.676522425435433</v>
      </c>
      <c r="L77" s="4">
        <f t="shared" si="59"/>
        <v>-1.8159619989581868</v>
      </c>
      <c r="M77" s="8">
        <f t="shared" si="59"/>
        <v>-0.8316467632710385</v>
      </c>
      <c r="N77" s="11">
        <f t="shared" si="59"/>
        <v>-0.25579377107107415</v>
      </c>
      <c r="O77" s="11">
        <f t="shared" si="59"/>
        <v>-1.4953101712903565</v>
      </c>
      <c r="P77" s="11">
        <f t="shared" si="59"/>
        <v>-2.5655847768899998</v>
      </c>
      <c r="Q77" s="11">
        <f t="shared" si="59"/>
        <v>-3.323892316392295</v>
      </c>
      <c r="R77" s="11">
        <f t="shared" si="59"/>
        <v>-3.6199267444026306</v>
      </c>
      <c r="S77" s="11">
        <f t="shared" si="59"/>
        <v>-3.2802883647673213</v>
      </c>
      <c r="T77" s="11">
        <f t="shared" si="59"/>
        <v>-2.07564892084512</v>
      </c>
      <c r="U77" s="11">
        <f t="shared" si="59"/>
        <v>0.33544625881557444</v>
      </c>
      <c r="V77" s="11">
        <f t="shared" si="59"/>
        <v>4.449783026790611</v>
      </c>
      <c r="W77" s="11">
        <f t="shared" si="59"/>
        <v>10.636161859677902</v>
      </c>
      <c r="X77" s="11">
        <f t="shared" si="59"/>
        <v>17.091152953471962</v>
      </c>
      <c r="Y77" s="11">
        <f t="shared" si="59"/>
        <v>14.577215679923382</v>
      </c>
      <c r="Z77" s="11">
        <f t="shared" si="59"/>
        <v>-0.20934382497177437</v>
      </c>
    </row>
    <row r="78" spans="1:26" s="11" customFormat="1" ht="12.75">
      <c r="A78" s="51" t="s">
        <v>33</v>
      </c>
      <c r="B78" s="4">
        <f aca="true" t="shared" si="60" ref="B78:Z78">B27+B50*(B75-B24)</f>
        <v>3.994518139017773</v>
      </c>
      <c r="C78" s="4">
        <f t="shared" si="60"/>
        <v>3.8042260651806212</v>
      </c>
      <c r="D78" s="4">
        <f t="shared" si="60"/>
        <v>3.3546822717816984</v>
      </c>
      <c r="E78" s="4">
        <f t="shared" si="60"/>
        <v>2.676522425435436</v>
      </c>
      <c r="F78" s="4">
        <f t="shared" si="60"/>
        <v>1.8159619989581874</v>
      </c>
      <c r="G78" s="4">
        <f t="shared" si="60"/>
        <v>0.8316467632710373</v>
      </c>
      <c r="H78" s="4">
        <f t="shared" si="60"/>
        <v>-0.20934382497177287</v>
      </c>
      <c r="I78" s="4">
        <f t="shared" si="60"/>
        <v>-1.23606797749979</v>
      </c>
      <c r="J78" s="4">
        <f t="shared" si="60"/>
        <v>-2.178556140060102</v>
      </c>
      <c r="K78" s="4">
        <f t="shared" si="60"/>
        <v>-2.9725793019095765</v>
      </c>
      <c r="L78" s="4">
        <f t="shared" si="60"/>
        <v>-3.564026096753471</v>
      </c>
      <c r="M78" s="8">
        <f t="shared" si="60"/>
        <v>-3.912590402935243</v>
      </c>
      <c r="N78" s="11">
        <f t="shared" si="60"/>
        <v>9.326633899539198</v>
      </c>
      <c r="O78" s="11">
        <f t="shared" si="60"/>
        <v>9.094851283147486</v>
      </c>
      <c r="P78" s="11">
        <f t="shared" si="60"/>
        <v>8.553485647061098</v>
      </c>
      <c r="Q78" s="11">
        <f t="shared" si="60"/>
        <v>7.754361840092027</v>
      </c>
      <c r="R78" s="11">
        <f t="shared" si="60"/>
        <v>6.772788308458448</v>
      </c>
      <c r="S78" s="11">
        <f t="shared" si="60"/>
        <v>5.693079748695541</v>
      </c>
      <c r="T78" s="11">
        <f t="shared" si="60"/>
        <v>4.572595045187807</v>
      </c>
      <c r="U78" s="11">
        <f t="shared" si="60"/>
        <v>3.344351688348313</v>
      </c>
      <c r="V78" s="11">
        <f t="shared" si="60"/>
        <v>1.5439145532669514</v>
      </c>
      <c r="W78" s="11">
        <f t="shared" si="60"/>
        <v>-2.3840820196797132</v>
      </c>
      <c r="X78" s="11">
        <f t="shared" si="60"/>
        <v>-11.966232776483015</v>
      </c>
      <c r="Y78" s="11">
        <f t="shared" si="60"/>
        <v>-28.467661403328925</v>
      </c>
      <c r="Z78" s="11">
        <f t="shared" si="60"/>
        <v>3.9945181390177393</v>
      </c>
    </row>
    <row r="79" spans="1:26" s="11" customFormat="1" ht="12.75">
      <c r="A79" s="51" t="s">
        <v>22</v>
      </c>
      <c r="B79" s="4">
        <f aca="true" t="shared" si="61" ref="B79:Z79">B28-B54*(B76-B25)-B50*(B78-B27)</f>
        <v>-3.9945181390182953</v>
      </c>
      <c r="C79" s="4">
        <f t="shared" si="61"/>
        <v>-3.804226065180614</v>
      </c>
      <c r="D79" s="4">
        <f t="shared" si="61"/>
        <v>-3.354682271781696</v>
      </c>
      <c r="E79" s="4">
        <f t="shared" si="61"/>
        <v>-2.676522425435433</v>
      </c>
      <c r="F79" s="4">
        <f t="shared" si="61"/>
        <v>-1.8159619989581874</v>
      </c>
      <c r="G79" s="4">
        <f t="shared" si="61"/>
        <v>-0.8316467632710373</v>
      </c>
      <c r="H79" s="4">
        <f t="shared" si="61"/>
        <v>0.2093438249717751</v>
      </c>
      <c r="I79" s="4">
        <f t="shared" si="61"/>
        <v>1.23606797749979</v>
      </c>
      <c r="J79" s="4">
        <f t="shared" si="61"/>
        <v>2.1785561400601074</v>
      </c>
      <c r="K79" s="4">
        <f t="shared" si="61"/>
        <v>2.9725793019095765</v>
      </c>
      <c r="L79" s="4">
        <f t="shared" si="61"/>
        <v>3.564026096753471</v>
      </c>
      <c r="M79" s="8">
        <f t="shared" si="61"/>
        <v>3.912590402935222</v>
      </c>
      <c r="N79" s="11">
        <f t="shared" si="61"/>
        <v>-4.8781257235495765</v>
      </c>
      <c r="O79" s="11">
        <f t="shared" si="61"/>
        <v>-4.501346458335448</v>
      </c>
      <c r="P79" s="11">
        <f t="shared" si="61"/>
        <v>-3.5844188023404495</v>
      </c>
      <c r="Q79" s="11">
        <f t="shared" si="61"/>
        <v>-2.113852219625218</v>
      </c>
      <c r="R79" s="11">
        <f t="shared" si="61"/>
        <v>-0.03929693160426595</v>
      </c>
      <c r="S79" s="11">
        <f t="shared" si="61"/>
        <v>2.776255996398285</v>
      </c>
      <c r="T79" s="11">
        <f t="shared" si="61"/>
        <v>6.639428524491497</v>
      </c>
      <c r="U79" s="11">
        <f t="shared" si="61"/>
        <v>12.103935934271279</v>
      </c>
      <c r="V79" s="11">
        <f t="shared" si="61"/>
        <v>19.657915507407075</v>
      </c>
      <c r="W79" s="11">
        <f t="shared" si="61"/>
        <v>26.870569208824026</v>
      </c>
      <c r="X79" s="11">
        <f t="shared" si="61"/>
        <v>16.57387575404592</v>
      </c>
      <c r="Y79" s="11">
        <f t="shared" si="61"/>
        <v>-44.37508759415496</v>
      </c>
      <c r="Z79" s="11">
        <f t="shared" si="61"/>
        <v>-3.9945181390182953</v>
      </c>
    </row>
    <row r="80" spans="1:26" s="11" customFormat="1" ht="13.5" thickBot="1">
      <c r="A80" s="52" t="s">
        <v>21</v>
      </c>
      <c r="B80" s="5">
        <f aca="true" t="shared" si="62" ref="B80:Z80">B29+B54*(B75-B24)+B50*(B77-B26)</f>
        <v>-0.2093438249518773</v>
      </c>
      <c r="C80" s="5">
        <f t="shared" si="62"/>
        <v>-1.2360679774998307</v>
      </c>
      <c r="D80" s="5">
        <f t="shared" si="62"/>
        <v>-2.178556140060108</v>
      </c>
      <c r="E80" s="5">
        <f t="shared" si="62"/>
        <v>-2.9725793019095765</v>
      </c>
      <c r="F80" s="5">
        <f t="shared" si="62"/>
        <v>-3.564026096753471</v>
      </c>
      <c r="G80" s="5">
        <f t="shared" si="62"/>
        <v>-3.9125904029352223</v>
      </c>
      <c r="H80" s="5">
        <f t="shared" si="62"/>
        <v>-3.9945181390182953</v>
      </c>
      <c r="I80" s="5">
        <f t="shared" si="62"/>
        <v>-3.804226065180614</v>
      </c>
      <c r="J80" s="5">
        <f t="shared" si="62"/>
        <v>-3.354682271781696</v>
      </c>
      <c r="K80" s="5">
        <f t="shared" si="62"/>
        <v>-2.676522425435433</v>
      </c>
      <c r="L80" s="5">
        <f t="shared" si="62"/>
        <v>-1.8159619989581868</v>
      </c>
      <c r="M80" s="9">
        <f t="shared" si="62"/>
        <v>-0.8316467632712469</v>
      </c>
      <c r="N80" s="11">
        <f t="shared" si="62"/>
        <v>-0.2558174272852305</v>
      </c>
      <c r="O80" s="11">
        <f t="shared" si="62"/>
        <v>-1.5006289868197815</v>
      </c>
      <c r="P80" s="11">
        <f t="shared" si="62"/>
        <v>-2.6017460570067996</v>
      </c>
      <c r="Q80" s="11">
        <f t="shared" si="62"/>
        <v>-3.4543434106749946</v>
      </c>
      <c r="R80" s="11">
        <f t="shared" si="62"/>
        <v>-3.988658756879101</v>
      </c>
      <c r="S80" s="11">
        <f t="shared" si="62"/>
        <v>-4.2178840703739775</v>
      </c>
      <c r="T80" s="11">
        <f t="shared" si="62"/>
        <v>-4.369604741410873</v>
      </c>
      <c r="U80" s="11">
        <f t="shared" si="62"/>
        <v>-5.267771979175848</v>
      </c>
      <c r="V80" s="11">
        <f t="shared" si="62"/>
        <v>-9.392744953608245</v>
      </c>
      <c r="W80" s="11">
        <f t="shared" si="62"/>
        <v>-22.954919138886495</v>
      </c>
      <c r="X80" s="11">
        <f t="shared" si="62"/>
        <v>-52.493167741611366</v>
      </c>
      <c r="Y80" s="11">
        <f t="shared" si="62"/>
        <v>-62.1888637103409</v>
      </c>
      <c r="Z80" s="11">
        <f t="shared" si="62"/>
        <v>-0.2093438249522157</v>
      </c>
    </row>
    <row r="81" spans="1:13" s="11" customFormat="1" ht="16.5" thickBot="1">
      <c r="A81" s="63"/>
      <c r="B81" s="80"/>
      <c r="C81" s="80"/>
      <c r="D81" s="80"/>
      <c r="E81" s="81"/>
      <c r="F81" s="81"/>
      <c r="G81" s="81" t="s">
        <v>58</v>
      </c>
      <c r="H81" s="80"/>
      <c r="I81" s="80"/>
      <c r="J81" s="80"/>
      <c r="K81" s="80"/>
      <c r="L81" s="80"/>
      <c r="M81" s="82"/>
    </row>
    <row r="82" spans="1:26" s="11" customFormat="1" ht="12.75">
      <c r="A82" s="50" t="s">
        <v>34</v>
      </c>
      <c r="B82" s="3">
        <f aca="true" t="shared" si="63" ref="B82:Z82">$F$4+($B$8-$F$4)*COS(B49-$B$49)-($D$8-$F$5)*SIN(B49-$B$49)</f>
        <v>11.994518139018295</v>
      </c>
      <c r="C82" s="3">
        <f t="shared" si="63"/>
        <v>11.804226065180618</v>
      </c>
      <c r="D82" s="3">
        <f t="shared" si="63"/>
        <v>11.354682271781705</v>
      </c>
      <c r="E82" s="3">
        <f t="shared" si="63"/>
        <v>10.676522425435447</v>
      </c>
      <c r="F82" s="3">
        <f t="shared" si="63"/>
        <v>9.815961998958203</v>
      </c>
      <c r="G82" s="3">
        <f t="shared" si="63"/>
        <v>8.831646763271054</v>
      </c>
      <c r="H82" s="3">
        <f t="shared" si="63"/>
        <v>7.790656175028244</v>
      </c>
      <c r="I82" s="3">
        <f t="shared" si="63"/>
        <v>6.763932022500228</v>
      </c>
      <c r="J82" s="3">
        <f t="shared" si="63"/>
        <v>5.821443859939909</v>
      </c>
      <c r="K82" s="3">
        <f t="shared" si="63"/>
        <v>5.0274206980904355</v>
      </c>
      <c r="L82" s="3">
        <f t="shared" si="63"/>
        <v>4.435973903246538</v>
      </c>
      <c r="M82" s="6">
        <f t="shared" si="63"/>
        <v>4.087409597064782</v>
      </c>
      <c r="N82" s="7">
        <f t="shared" si="63"/>
        <v>4.000609466888275</v>
      </c>
      <c r="O82" s="7">
        <f t="shared" si="63"/>
        <v>4.022236359376738</v>
      </c>
      <c r="P82" s="7">
        <f t="shared" si="63"/>
        <v>4.077240247710907</v>
      </c>
      <c r="Q82" s="7">
        <f t="shared" si="63"/>
        <v>4.1724058761529035</v>
      </c>
      <c r="R82" s="7">
        <f t="shared" si="63"/>
        <v>4.3204298969647565</v>
      </c>
      <c r="S82" s="7">
        <f t="shared" si="63"/>
        <v>4.543303352439656</v>
      </c>
      <c r="T82" s="7">
        <f t="shared" si="63"/>
        <v>4.878657050554673</v>
      </c>
      <c r="U82" s="7">
        <f t="shared" si="63"/>
        <v>5.391116509596728</v>
      </c>
      <c r="V82" s="7">
        <f t="shared" si="63"/>
        <v>6.189856132807045</v>
      </c>
      <c r="W82" s="7">
        <f t="shared" si="63"/>
        <v>7.439137870337868</v>
      </c>
      <c r="X82" s="7">
        <f t="shared" si="63"/>
        <v>9.267523371874884</v>
      </c>
      <c r="Y82" s="7">
        <f t="shared" si="63"/>
        <v>11.276550091422333</v>
      </c>
      <c r="Z82" s="7">
        <f t="shared" si="63"/>
        <v>11.994518139018295</v>
      </c>
    </row>
    <row r="83" spans="1:26" s="11" customFormat="1" ht="12.75">
      <c r="A83" s="51" t="s">
        <v>24</v>
      </c>
      <c r="B83" s="4">
        <f aca="true" t="shared" si="64" ref="B83:Z83">$F$5+($B$8-$F$4)*SIN(B49-$B$49)+($D$8-$F$5)*COS(B49-$B$49)</f>
        <v>0.20934382497176862</v>
      </c>
      <c r="C83" s="4">
        <f t="shared" si="64"/>
        <v>1.2360679774997718</v>
      </c>
      <c r="D83" s="4">
        <f t="shared" si="64"/>
        <v>2.178556140060093</v>
      </c>
      <c r="E83" s="4">
        <f t="shared" si="64"/>
        <v>2.9725793019095637</v>
      </c>
      <c r="F83" s="4">
        <f t="shared" si="64"/>
        <v>3.5640260967534627</v>
      </c>
      <c r="G83" s="4">
        <f t="shared" si="64"/>
        <v>3.9125904029352174</v>
      </c>
      <c r="H83" s="4">
        <f t="shared" si="64"/>
        <v>3.9945181390182953</v>
      </c>
      <c r="I83" s="4">
        <f t="shared" si="64"/>
        <v>3.8042260651806186</v>
      </c>
      <c r="J83" s="4">
        <f t="shared" si="64"/>
        <v>3.354682271781706</v>
      </c>
      <c r="K83" s="4">
        <f t="shared" si="64"/>
        <v>2.6765224254354454</v>
      </c>
      <c r="L83" s="4">
        <f t="shared" si="64"/>
        <v>1.8159619989582036</v>
      </c>
      <c r="M83" s="8">
        <f t="shared" si="64"/>
        <v>0.8316467632710535</v>
      </c>
      <c r="N83" s="7">
        <f t="shared" si="64"/>
        <v>0.06982380436716351</v>
      </c>
      <c r="O83" s="7">
        <f t="shared" si="64"/>
        <v>0.4211845430871961</v>
      </c>
      <c r="P83" s="7">
        <f t="shared" si="64"/>
        <v>0.7822761186568342</v>
      </c>
      <c r="Q83" s="7">
        <f t="shared" si="64"/>
        <v>1.1616898136297695</v>
      </c>
      <c r="R83" s="7">
        <f t="shared" si="64"/>
        <v>1.5686822039053019</v>
      </c>
      <c r="S83" s="7">
        <f t="shared" si="64"/>
        <v>2.0127712951910537</v>
      </c>
      <c r="T83" s="7">
        <f t="shared" si="64"/>
        <v>2.5014432218117486</v>
      </c>
      <c r="U83" s="7">
        <f t="shared" si="64"/>
        <v>3.032115916897181</v>
      </c>
      <c r="V83" s="7">
        <f t="shared" si="64"/>
        <v>3.566984606087293</v>
      </c>
      <c r="W83" s="7">
        <f t="shared" si="64"/>
        <v>3.9604840198529843</v>
      </c>
      <c r="X83" s="7">
        <f t="shared" si="64"/>
        <v>3.7938614236356756</v>
      </c>
      <c r="Y83" s="7">
        <f t="shared" si="64"/>
        <v>2.2943886981939854</v>
      </c>
      <c r="Z83" s="7">
        <f t="shared" si="64"/>
        <v>0.20934382497176862</v>
      </c>
    </row>
    <row r="84" spans="1:26" s="11" customFormat="1" ht="12.75">
      <c r="A84" s="51" t="s">
        <v>23</v>
      </c>
      <c r="B84" s="4">
        <f>-B51*(B83-$F$5)</f>
        <v>-0.2093438249717577</v>
      </c>
      <c r="C84" s="4">
        <f aca="true" t="shared" si="65" ref="C84:Z84">-C51*(C83-$F$5)</f>
        <v>-1.2360679774997727</v>
      </c>
      <c r="D84" s="4">
        <f t="shared" si="65"/>
        <v>-2.1785561400600932</v>
      </c>
      <c r="E84" s="4">
        <f t="shared" si="65"/>
        <v>-2.972579301909564</v>
      </c>
      <c r="F84" s="4">
        <f t="shared" si="65"/>
        <v>-3.5640260967534627</v>
      </c>
      <c r="G84" s="4">
        <f t="shared" si="65"/>
        <v>-3.9125904029352174</v>
      </c>
      <c r="H84" s="4">
        <f t="shared" si="65"/>
        <v>-3.9945181390182953</v>
      </c>
      <c r="I84" s="4">
        <f t="shared" si="65"/>
        <v>-3.8042260651806186</v>
      </c>
      <c r="J84" s="4">
        <f t="shared" si="65"/>
        <v>-3.354682271781705</v>
      </c>
      <c r="K84" s="4">
        <f t="shared" si="65"/>
        <v>-2.6765224254354454</v>
      </c>
      <c r="L84" s="4">
        <f t="shared" si="65"/>
        <v>-1.8159619989582036</v>
      </c>
      <c r="M84" s="8">
        <f t="shared" si="65"/>
        <v>-0.8316467632710554</v>
      </c>
      <c r="N84" s="7">
        <f t="shared" si="65"/>
        <v>0.02328878655464138</v>
      </c>
      <c r="O84" s="7">
        <f t="shared" si="65"/>
        <v>0.1435167179837365</v>
      </c>
      <c r="P84" s="7">
        <f t="shared" si="65"/>
        <v>0.2808997732800702</v>
      </c>
      <c r="Q84" s="7">
        <f t="shared" si="65"/>
        <v>0.45399065458883625</v>
      </c>
      <c r="R84" s="7">
        <f t="shared" si="65"/>
        <v>0.690444960291037</v>
      </c>
      <c r="S84" s="7">
        <f t="shared" si="65"/>
        <v>1.0354388958542133</v>
      </c>
      <c r="T84" s="7">
        <f t="shared" si="65"/>
        <v>1.5664513150729367</v>
      </c>
      <c r="U84" s="7">
        <f t="shared" si="65"/>
        <v>2.4167141426346075</v>
      </c>
      <c r="V84" s="7">
        <f t="shared" si="65"/>
        <v>3.7927225737852703</v>
      </c>
      <c r="W84" s="7">
        <f t="shared" si="65"/>
        <v>5.8603781991324215</v>
      </c>
      <c r="X84" s="7">
        <f t="shared" si="65"/>
        <v>7.926038380763684</v>
      </c>
      <c r="Y84" s="7">
        <f t="shared" si="65"/>
        <v>6.329874329931935</v>
      </c>
      <c r="Z84" s="7">
        <f t="shared" si="65"/>
        <v>-0.2093438249717579</v>
      </c>
    </row>
    <row r="85" spans="1:26" s="11" customFormat="1" ht="12.75">
      <c r="A85" s="51" t="s">
        <v>33</v>
      </c>
      <c r="B85" s="4">
        <f>B51*(B82-$F$4)</f>
        <v>3.994518139018087</v>
      </c>
      <c r="C85" s="4">
        <f aca="true" t="shared" si="66" ref="C85:I85">C51*(C82-$F$4)</f>
        <v>3.804226065180621</v>
      </c>
      <c r="D85" s="4">
        <f t="shared" si="66"/>
        <v>3.354682271781706</v>
      </c>
      <c r="E85" s="4">
        <f t="shared" si="66"/>
        <v>2.6765224254354476</v>
      </c>
      <c r="F85" s="4">
        <f t="shared" si="66"/>
        <v>1.815961998958203</v>
      </c>
      <c r="G85" s="4">
        <f t="shared" si="66"/>
        <v>0.8316467632710545</v>
      </c>
      <c r="H85" s="4">
        <f t="shared" si="66"/>
        <v>-0.2093438249717563</v>
      </c>
      <c r="I85" s="4">
        <f t="shared" si="66"/>
        <v>-1.236067977499772</v>
      </c>
      <c r="J85" s="4">
        <f>J51*(J82-$F$4)</f>
        <v>-2.1785561400600906</v>
      </c>
      <c r="K85" s="4">
        <f>K51*(K82-$F$4)</f>
        <v>-2.9725793019095645</v>
      </c>
      <c r="L85" s="4">
        <f aca="true" t="shared" si="67" ref="L85:Z85">L51*(L82-$F$4)</f>
        <v>-3.5640260967534623</v>
      </c>
      <c r="M85" s="8">
        <f t="shared" si="67"/>
        <v>-3.912590402935227</v>
      </c>
      <c r="N85" s="7">
        <f t="shared" si="67"/>
        <v>1.3339426764047015</v>
      </c>
      <c r="O85" s="7">
        <f t="shared" si="67"/>
        <v>1.3554048741506255</v>
      </c>
      <c r="P85" s="7">
        <f t="shared" si="67"/>
        <v>1.4085848957554192</v>
      </c>
      <c r="Q85" s="7">
        <f t="shared" si="67"/>
        <v>1.4958312807755485</v>
      </c>
      <c r="R85" s="7">
        <f t="shared" si="67"/>
        <v>1.619538124008464</v>
      </c>
      <c r="S85" s="7">
        <f t="shared" si="67"/>
        <v>1.778243841515587</v>
      </c>
      <c r="T85" s="7">
        <f t="shared" si="67"/>
        <v>1.9546443130581823</v>
      </c>
      <c r="U85" s="7">
        <f t="shared" si="67"/>
        <v>2.0793814618391866</v>
      </c>
      <c r="V85" s="7">
        <f t="shared" si="67"/>
        <v>1.9246995053428255</v>
      </c>
      <c r="W85" s="7">
        <f t="shared" si="67"/>
        <v>0.8299147732738358</v>
      </c>
      <c r="X85" s="7">
        <f t="shared" si="67"/>
        <v>-2.648077452541157</v>
      </c>
      <c r="Y85" s="7">
        <f t="shared" si="67"/>
        <v>-9.039510319570459</v>
      </c>
      <c r="Z85" s="7">
        <f t="shared" si="67"/>
        <v>3.9945181390180906</v>
      </c>
    </row>
    <row r="86" spans="1:26" s="11" customFormat="1" ht="12.75">
      <c r="A86" s="51" t="s">
        <v>22</v>
      </c>
      <c r="B86" s="4">
        <f>-B51*B85-B55*(B83-$F$5)</f>
        <v>-3.9945181390182958</v>
      </c>
      <c r="C86" s="4">
        <f aca="true" t="shared" si="68" ref="C86:Z86">-C51*C85-C55*(C83-$F$5)</f>
        <v>-3.804226065180618</v>
      </c>
      <c r="D86" s="4">
        <f t="shared" si="68"/>
        <v>-3.354682271781707</v>
      </c>
      <c r="E86" s="4">
        <f t="shared" si="68"/>
        <v>-2.676522425435448</v>
      </c>
      <c r="F86" s="4">
        <f t="shared" si="68"/>
        <v>-1.815961998958203</v>
      </c>
      <c r="G86" s="4">
        <f t="shared" si="68"/>
        <v>-0.8316467632710545</v>
      </c>
      <c r="H86" s="4">
        <f t="shared" si="68"/>
        <v>0.2093438249717572</v>
      </c>
      <c r="I86" s="4">
        <f t="shared" si="68"/>
        <v>1.236067977499772</v>
      </c>
      <c r="J86" s="4">
        <f t="shared" si="68"/>
        <v>2.17855614006009</v>
      </c>
      <c r="K86" s="4">
        <f t="shared" si="68"/>
        <v>2.9725793019095645</v>
      </c>
      <c r="L86" s="4">
        <f t="shared" si="68"/>
        <v>3.5640260967534623</v>
      </c>
      <c r="M86" s="8">
        <f t="shared" si="68"/>
        <v>3.9125904029352188</v>
      </c>
      <c r="N86" s="7">
        <f t="shared" si="68"/>
        <v>0.4454605939911465</v>
      </c>
      <c r="O86" s="7">
        <f t="shared" si="68"/>
        <v>0.4819970557741902</v>
      </c>
      <c r="P86" s="7">
        <f t="shared" si="68"/>
        <v>0.5790418421328397</v>
      </c>
      <c r="Q86" s="7">
        <f t="shared" si="68"/>
        <v>0.7603725674111741</v>
      </c>
      <c r="R86" s="7">
        <f t="shared" si="68"/>
        <v>1.0738584267332072</v>
      </c>
      <c r="S86" s="7">
        <f t="shared" si="68"/>
        <v>1.6094904565219406</v>
      </c>
      <c r="T86" s="7">
        <f t="shared" si="68"/>
        <v>2.5301651148135353</v>
      </c>
      <c r="U86" s="7">
        <f t="shared" si="68"/>
        <v>4.099933587208638</v>
      </c>
      <c r="V86" s="7">
        <f t="shared" si="68"/>
        <v>6.556032518926758</v>
      </c>
      <c r="W86" s="7">
        <f t="shared" si="68"/>
        <v>8.964680102383827</v>
      </c>
      <c r="X86" s="7">
        <f t="shared" si="68"/>
        <v>4.491134643566199</v>
      </c>
      <c r="Y86" s="7">
        <f t="shared" si="68"/>
        <v>-20.09758927942321</v>
      </c>
      <c r="Z86" s="7">
        <f t="shared" si="68"/>
        <v>-3.9945181390182958</v>
      </c>
    </row>
    <row r="87" spans="1:26" s="11" customFormat="1" ht="13.5" thickBot="1">
      <c r="A87" s="52" t="s">
        <v>21</v>
      </c>
      <c r="B87" s="5">
        <f>B51*B84+B55*(B82-$F$4)</f>
        <v>-0.20934382496379844</v>
      </c>
      <c r="C87" s="5">
        <f>C51*C84+C55*(C82-$F$4)</f>
        <v>-1.23606797749979</v>
      </c>
      <c r="D87" s="5">
        <f aca="true" t="shared" si="69" ref="D87:Z87">D51*D84+D55*(D82-$F$4)</f>
        <v>-2.1785561400600937</v>
      </c>
      <c r="E87" s="5">
        <f t="shared" si="69"/>
        <v>-2.9725793019095645</v>
      </c>
      <c r="F87" s="5">
        <f t="shared" si="69"/>
        <v>-3.5640260967534627</v>
      </c>
      <c r="G87" s="5">
        <f t="shared" si="69"/>
        <v>-3.9125904029352174</v>
      </c>
      <c r="H87" s="5">
        <f t="shared" si="69"/>
        <v>-3.9945181390182953</v>
      </c>
      <c r="I87" s="5">
        <f t="shared" si="69"/>
        <v>-3.8042260651806186</v>
      </c>
      <c r="J87" s="5">
        <f t="shared" si="69"/>
        <v>-3.354682271781704</v>
      </c>
      <c r="K87" s="5">
        <f t="shared" si="69"/>
        <v>-2.6765224254354454</v>
      </c>
      <c r="L87" s="5">
        <f t="shared" si="69"/>
        <v>-1.8159619989582036</v>
      </c>
      <c r="M87" s="9">
        <f t="shared" si="69"/>
        <v>-0.8316467632711387</v>
      </c>
      <c r="N87" s="7">
        <f t="shared" si="69"/>
        <v>0.02327932406897062</v>
      </c>
      <c r="O87" s="7">
        <f t="shared" si="69"/>
        <v>0.14138919177195824</v>
      </c>
      <c r="P87" s="7">
        <f t="shared" si="69"/>
        <v>0.2664352612333422</v>
      </c>
      <c r="Q87" s="7">
        <f t="shared" si="69"/>
        <v>0.40181021687574564</v>
      </c>
      <c r="R87" s="7">
        <f t="shared" si="69"/>
        <v>0.542952155300438</v>
      </c>
      <c r="S87" s="7">
        <f t="shared" si="69"/>
        <v>0.6604006136115346</v>
      </c>
      <c r="T87" s="7">
        <f t="shared" si="69"/>
        <v>0.6488689868466176</v>
      </c>
      <c r="U87" s="7">
        <f t="shared" si="69"/>
        <v>0.17542684743800963</v>
      </c>
      <c r="V87" s="7">
        <f t="shared" si="69"/>
        <v>-1.7442886183743087</v>
      </c>
      <c r="W87" s="7">
        <f t="shared" si="69"/>
        <v>-7.576054200293376</v>
      </c>
      <c r="X87" s="7">
        <f t="shared" si="69"/>
        <v>-19.907689897269652</v>
      </c>
      <c r="Y87" s="7">
        <f t="shared" si="69"/>
        <v>-24.37655742617364</v>
      </c>
      <c r="Z87" s="7">
        <f t="shared" si="69"/>
        <v>-0.20934382496393442</v>
      </c>
    </row>
    <row r="88" spans="1:26" s="11" customFormat="1" ht="16.5" thickBot="1">
      <c r="A88" s="66"/>
      <c r="B88" s="83"/>
      <c r="C88" s="83"/>
      <c r="D88" s="83"/>
      <c r="E88" s="84"/>
      <c r="F88" s="84"/>
      <c r="G88" s="84" t="s">
        <v>11</v>
      </c>
      <c r="H88" s="83"/>
      <c r="I88" s="83"/>
      <c r="J88" s="83"/>
      <c r="K88" s="83"/>
      <c r="L88" s="83"/>
      <c r="M88" s="85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s="11" customFormat="1" ht="12.75">
      <c r="A89" s="50" t="s">
        <v>34</v>
      </c>
      <c r="B89" s="3">
        <f aca="true" t="shared" si="70" ref="B89:Z89">$F$4+($B$12-$F$4)*COS(B49-$B$49)-($D$12-$F$5)*SIN(B49-$B$49)</f>
        <v>3</v>
      </c>
      <c r="C89" s="3">
        <f t="shared" si="70"/>
        <v>2.8597880144316328</v>
      </c>
      <c r="D89" s="3">
        <f t="shared" si="70"/>
        <v>3.069872981077803</v>
      </c>
      <c r="E89" s="3">
        <f t="shared" si="70"/>
        <v>3.615937956643397</v>
      </c>
      <c r="F89" s="3">
        <f t="shared" si="70"/>
        <v>4.460769515458663</v>
      </c>
      <c r="G89" s="3">
        <f t="shared" si="70"/>
        <v>5.546793782940502</v>
      </c>
      <c r="H89" s="3">
        <f t="shared" si="70"/>
        <v>6.799999999999985</v>
      </c>
      <c r="I89" s="3">
        <f t="shared" si="70"/>
        <v>8.134984233965708</v>
      </c>
      <c r="J89" s="3">
        <f t="shared" si="70"/>
        <v>9.460769515458658</v>
      </c>
      <c r="K89" s="3">
        <f t="shared" si="70"/>
        <v>10.687005768508868</v>
      </c>
      <c r="L89" s="3">
        <f t="shared" si="70"/>
        <v>11.730127018922182</v>
      </c>
      <c r="M89" s="6">
        <f t="shared" si="70"/>
        <v>12.519046277322309</v>
      </c>
      <c r="N89" s="7">
        <f t="shared" si="70"/>
        <v>12.904107002403615</v>
      </c>
      <c r="O89" s="7">
        <f t="shared" si="70"/>
        <v>12.749200231032743</v>
      </c>
      <c r="P89" s="7">
        <f t="shared" si="70"/>
        <v>12.54960159633175</v>
      </c>
      <c r="Q89" s="7">
        <f t="shared" si="70"/>
        <v>12.293812422832271</v>
      </c>
      <c r="R89" s="7">
        <f t="shared" si="70"/>
        <v>11.962804261324614</v>
      </c>
      <c r="S89" s="7">
        <f t="shared" si="70"/>
        <v>11.525997102163137</v>
      </c>
      <c r="T89" s="7">
        <f t="shared" si="70"/>
        <v>10.934275228366118</v>
      </c>
      <c r="U89" s="7">
        <f t="shared" si="70"/>
        <v>10.108924599492166</v>
      </c>
      <c r="V89" s="7">
        <f t="shared" si="70"/>
        <v>8.929177435723735</v>
      </c>
      <c r="W89" s="7">
        <f t="shared" si="70"/>
        <v>7.245699340545062</v>
      </c>
      <c r="X89" s="7">
        <f t="shared" si="70"/>
        <v>5.052875443039184</v>
      </c>
      <c r="Y89" s="7">
        <f t="shared" si="70"/>
        <v>3.1238977193090074</v>
      </c>
      <c r="Z89" s="7">
        <f t="shared" si="70"/>
        <v>3</v>
      </c>
    </row>
    <row r="90" spans="1:26" s="11" customFormat="1" ht="12.75">
      <c r="A90" s="51" t="s">
        <v>24</v>
      </c>
      <c r="B90" s="4">
        <f aca="true" t="shared" si="71" ref="B90:Z90">$F$5+($B$12-$F$4)*SIN(B49-$B$49)+($D$12-$F$5)*COS(B49-$B$49)</f>
        <v>1.2</v>
      </c>
      <c r="C90" s="4">
        <f t="shared" si="71"/>
        <v>-0.13498423396570658</v>
      </c>
      <c r="D90" s="4">
        <f t="shared" si="71"/>
        <v>-1.4607695154586595</v>
      </c>
      <c r="E90" s="4">
        <f t="shared" si="71"/>
        <v>-2.6870057685088677</v>
      </c>
      <c r="F90" s="4">
        <f t="shared" si="71"/>
        <v>-3.730127018922184</v>
      </c>
      <c r="G90" s="4">
        <f t="shared" si="71"/>
        <v>-4.5190462773223095</v>
      </c>
      <c r="H90" s="4">
        <f t="shared" si="71"/>
        <v>-4.9999999999999964</v>
      </c>
      <c r="I90" s="4">
        <f t="shared" si="71"/>
        <v>-5.140211985568366</v>
      </c>
      <c r="J90" s="4">
        <f t="shared" si="71"/>
        <v>-4.930127018922198</v>
      </c>
      <c r="K90" s="4">
        <f t="shared" si="71"/>
        <v>-4.384062043356602</v>
      </c>
      <c r="L90" s="4">
        <f t="shared" si="71"/>
        <v>-3.5392304845413376</v>
      </c>
      <c r="M90" s="8">
        <f t="shared" si="71"/>
        <v>-2.4532062170594973</v>
      </c>
      <c r="N90" s="7">
        <f t="shared" si="71"/>
        <v>-1.5458766150556245</v>
      </c>
      <c r="O90" s="7">
        <f t="shared" si="71"/>
        <v>-1.9710649825813786</v>
      </c>
      <c r="P90" s="7">
        <f t="shared" si="71"/>
        <v>-2.3960645472640323</v>
      </c>
      <c r="Q90" s="7">
        <f t="shared" si="71"/>
        <v>-2.828988313431367</v>
      </c>
      <c r="R90" s="7">
        <f t="shared" si="71"/>
        <v>-3.276611418283755</v>
      </c>
      <c r="S90" s="7">
        <f t="shared" si="71"/>
        <v>-3.7426386995724226</v>
      </c>
      <c r="T90" s="7">
        <f t="shared" si="71"/>
        <v>-4.222561886366729</v>
      </c>
      <c r="U90" s="7">
        <f t="shared" si="71"/>
        <v>-4.6896094756020785</v>
      </c>
      <c r="V90" s="7">
        <f t="shared" si="71"/>
        <v>-5.057334208151747</v>
      </c>
      <c r="W90" s="7">
        <f t="shared" si="71"/>
        <v>-5.086357293303907</v>
      </c>
      <c r="X90" s="7">
        <f t="shared" si="71"/>
        <v>-4.213603783670044</v>
      </c>
      <c r="Y90" s="7">
        <f t="shared" si="71"/>
        <v>-1.632062054040869</v>
      </c>
      <c r="Z90" s="7">
        <f t="shared" si="71"/>
        <v>1.2</v>
      </c>
    </row>
    <row r="91" spans="1:26" s="11" customFormat="1" ht="12.75">
      <c r="A91" s="51" t="s">
        <v>23</v>
      </c>
      <c r="B91" s="4">
        <f>-B51*(B90-$F$5)</f>
        <v>-1.1999999999999376</v>
      </c>
      <c r="C91" s="4">
        <f aca="true" t="shared" si="72" ref="C91:Z91">-C51*(C90-$F$5)</f>
        <v>0.13498423396570666</v>
      </c>
      <c r="D91" s="4">
        <f t="shared" si="72"/>
        <v>1.4607695154586597</v>
      </c>
      <c r="E91" s="4">
        <f t="shared" si="72"/>
        <v>2.687005768508868</v>
      </c>
      <c r="F91" s="4">
        <f t="shared" si="72"/>
        <v>3.730127018922184</v>
      </c>
      <c r="G91" s="4">
        <f t="shared" si="72"/>
        <v>4.5190462773223095</v>
      </c>
      <c r="H91" s="4">
        <f t="shared" si="72"/>
        <v>4.9999999999999964</v>
      </c>
      <c r="I91" s="4">
        <f t="shared" si="72"/>
        <v>5.140211985568366</v>
      </c>
      <c r="J91" s="4">
        <f t="shared" si="72"/>
        <v>4.930127018922197</v>
      </c>
      <c r="K91" s="4">
        <f t="shared" si="72"/>
        <v>4.384062043356602</v>
      </c>
      <c r="L91" s="4">
        <f t="shared" si="72"/>
        <v>3.5392304845413376</v>
      </c>
      <c r="M91" s="8">
        <f t="shared" si="72"/>
        <v>2.4532062170595026</v>
      </c>
      <c r="N91" s="7">
        <f t="shared" si="72"/>
        <v>-0.5156062585551792</v>
      </c>
      <c r="O91" s="7">
        <f t="shared" si="72"/>
        <v>-0.6716314306296529</v>
      </c>
      <c r="P91" s="7">
        <f t="shared" si="72"/>
        <v>-0.8603790554753384</v>
      </c>
      <c r="Q91" s="7">
        <f t="shared" si="72"/>
        <v>-1.1055741740782719</v>
      </c>
      <c r="R91" s="7">
        <f t="shared" si="72"/>
        <v>-1.4421785591459781</v>
      </c>
      <c r="S91" s="7">
        <f t="shared" si="72"/>
        <v>-1.9253422840068246</v>
      </c>
      <c r="T91" s="7">
        <f t="shared" si="72"/>
        <v>-2.644248553075416</v>
      </c>
      <c r="U91" s="7">
        <f t="shared" si="72"/>
        <v>-3.7378008802244365</v>
      </c>
      <c r="V91" s="7">
        <f t="shared" si="72"/>
        <v>-5.377389513175875</v>
      </c>
      <c r="W91" s="7">
        <f t="shared" si="72"/>
        <v>-7.526347094258166</v>
      </c>
      <c r="X91" s="7">
        <f t="shared" si="72"/>
        <v>-8.802953397990791</v>
      </c>
      <c r="Y91" s="7">
        <f t="shared" si="72"/>
        <v>-4.502614447526294</v>
      </c>
      <c r="Z91" s="7">
        <f t="shared" si="72"/>
        <v>-1.1999999999999384</v>
      </c>
    </row>
    <row r="92" spans="1:26" s="11" customFormat="1" ht="12.75">
      <c r="A92" s="51" t="s">
        <v>33</v>
      </c>
      <c r="B92" s="4">
        <f>B51*(B89-$F$4)</f>
        <v>-4.99999999999974</v>
      </c>
      <c r="C92" s="4">
        <f aca="true" t="shared" si="73" ref="C92:Z92">C51*(C89-$F$4)</f>
        <v>-5.140211985568371</v>
      </c>
      <c r="D92" s="4">
        <f t="shared" si="73"/>
        <v>-4.930127018922198</v>
      </c>
      <c r="E92" s="4">
        <f t="shared" si="73"/>
        <v>-4.384062043356604</v>
      </c>
      <c r="F92" s="4">
        <f t="shared" si="73"/>
        <v>-3.5392304845413367</v>
      </c>
      <c r="G92" s="4">
        <f t="shared" si="73"/>
        <v>-2.453206217059498</v>
      </c>
      <c r="H92" s="4">
        <f t="shared" si="73"/>
        <v>-1.2000000000000153</v>
      </c>
      <c r="I92" s="4">
        <f t="shared" si="73"/>
        <v>0.13498423396570836</v>
      </c>
      <c r="J92" s="4">
        <f t="shared" si="73"/>
        <v>1.4607695154586577</v>
      </c>
      <c r="K92" s="4">
        <f t="shared" si="73"/>
        <v>2.687005768508868</v>
      </c>
      <c r="L92" s="4">
        <f t="shared" si="73"/>
        <v>3.7301270189221825</v>
      </c>
      <c r="M92" s="8">
        <f t="shared" si="73"/>
        <v>4.519046277322318</v>
      </c>
      <c r="N92" s="7">
        <f t="shared" si="73"/>
        <v>-1.6356986310790387</v>
      </c>
      <c r="O92" s="7">
        <f t="shared" si="73"/>
        <v>-1.6182683847073556</v>
      </c>
      <c r="P92" s="7">
        <f t="shared" si="73"/>
        <v>-1.6336713168727754</v>
      </c>
      <c r="Q92" s="7">
        <f t="shared" si="73"/>
        <v>-1.678030305208958</v>
      </c>
      <c r="R92" s="7">
        <f t="shared" si="73"/>
        <v>-1.7442017408241075</v>
      </c>
      <c r="S92" s="7">
        <f t="shared" si="73"/>
        <v>-1.813894382820281</v>
      </c>
      <c r="T92" s="7">
        <f t="shared" si="73"/>
        <v>-1.8374989486792994</v>
      </c>
      <c r="U92" s="7">
        <f t="shared" si="73"/>
        <v>-1.6808948091134508</v>
      </c>
      <c r="V92" s="7">
        <f t="shared" si="73"/>
        <v>-0.9879807806030885</v>
      </c>
      <c r="W92" s="7">
        <f t="shared" si="73"/>
        <v>1.1161482076690772</v>
      </c>
      <c r="X92" s="7">
        <f t="shared" si="73"/>
        <v>6.157057346859425</v>
      </c>
      <c r="Y92" s="7">
        <f t="shared" si="73"/>
        <v>13.452434925679233</v>
      </c>
      <c r="Z92" s="7">
        <f t="shared" si="73"/>
        <v>-4.999999999999744</v>
      </c>
    </row>
    <row r="93" spans="1:26" s="11" customFormat="1" ht="12.75">
      <c r="A93" s="51" t="s">
        <v>22</v>
      </c>
      <c r="B93" s="4">
        <f>-B51*B92-B55*(B90-$F$5)</f>
        <v>4.999999999997092</v>
      </c>
      <c r="C93" s="4">
        <f aca="true" t="shared" si="74" ref="C93:Z93">-C51*C92-C55*(C90-$F$5)</f>
        <v>5.140211985568373</v>
      </c>
      <c r="D93" s="4">
        <f t="shared" si="74"/>
        <v>4.930127018922199</v>
      </c>
      <c r="E93" s="4">
        <f t="shared" si="74"/>
        <v>4.384062043356605</v>
      </c>
      <c r="F93" s="4">
        <f t="shared" si="74"/>
        <v>3.5392304845413367</v>
      </c>
      <c r="G93" s="4">
        <f t="shared" si="74"/>
        <v>2.453206217059498</v>
      </c>
      <c r="H93" s="4">
        <f t="shared" si="74"/>
        <v>1.2000000000000142</v>
      </c>
      <c r="I93" s="4">
        <f t="shared" si="74"/>
        <v>-0.13498423396570836</v>
      </c>
      <c r="J93" s="4">
        <f t="shared" si="74"/>
        <v>-1.4607695154586575</v>
      </c>
      <c r="K93" s="4">
        <f t="shared" si="74"/>
        <v>-2.687005768508868</v>
      </c>
      <c r="L93" s="4">
        <f t="shared" si="74"/>
        <v>-3.7301270189221825</v>
      </c>
      <c r="M93" s="8">
        <f t="shared" si="74"/>
        <v>-4.519046277322277</v>
      </c>
      <c r="N93" s="7">
        <f t="shared" si="74"/>
        <v>-0.5575657085911887</v>
      </c>
      <c r="O93" s="7">
        <f t="shared" si="74"/>
        <v>-0.6457111864368195</v>
      </c>
      <c r="P93" s="7">
        <f t="shared" si="74"/>
        <v>-0.8109701607190336</v>
      </c>
      <c r="Q93" s="7">
        <f t="shared" si="74"/>
        <v>-1.0838889488094912</v>
      </c>
      <c r="R93" s="7">
        <f t="shared" si="74"/>
        <v>-1.5218053218360599</v>
      </c>
      <c r="S93" s="7">
        <f t="shared" si="74"/>
        <v>-2.2248876548814898</v>
      </c>
      <c r="T93" s="7">
        <f t="shared" si="74"/>
        <v>-3.3554893250663786</v>
      </c>
      <c r="U93" s="7">
        <f t="shared" si="74"/>
        <v>-5.117553624029117</v>
      </c>
      <c r="V93" s="7">
        <f t="shared" si="74"/>
        <v>-7.444194055511928</v>
      </c>
      <c r="W93" s="7">
        <f t="shared" si="74"/>
        <v>-8.284413872367624</v>
      </c>
      <c r="X93" s="7">
        <f t="shared" si="74"/>
        <v>1.7307718375718029</v>
      </c>
      <c r="Y93" s="7">
        <f t="shared" si="74"/>
        <v>33.66966793775132</v>
      </c>
      <c r="Z93" s="7">
        <f t="shared" si="74"/>
        <v>4.999999999997141</v>
      </c>
    </row>
    <row r="94" spans="1:26" s="11" customFormat="1" ht="13.5" thickBot="1">
      <c r="A94" s="51" t="s">
        <v>21</v>
      </c>
      <c r="B94" s="4">
        <f>B51*B91+B55*(B89-$F$4)</f>
        <v>-1.2000000000098243</v>
      </c>
      <c r="C94" s="4">
        <f aca="true" t="shared" si="75" ref="C94:Z94">C51*C91+C55*(C89-$F$4)</f>
        <v>0.1349842339657289</v>
      </c>
      <c r="D94" s="4">
        <f t="shared" si="75"/>
        <v>1.46076951545866</v>
      </c>
      <c r="E94" s="4">
        <f t="shared" si="75"/>
        <v>2.6870057685088686</v>
      </c>
      <c r="F94" s="4">
        <f t="shared" si="75"/>
        <v>3.730127018922184</v>
      </c>
      <c r="G94" s="4">
        <f t="shared" si="75"/>
        <v>4.5190462773223095</v>
      </c>
      <c r="H94" s="4">
        <f t="shared" si="75"/>
        <v>4.9999999999999964</v>
      </c>
      <c r="I94" s="4">
        <f t="shared" si="75"/>
        <v>5.140211985568366</v>
      </c>
      <c r="J94" s="4">
        <f t="shared" si="75"/>
        <v>4.930127018922196</v>
      </c>
      <c r="K94" s="4">
        <f t="shared" si="75"/>
        <v>4.384062043356602</v>
      </c>
      <c r="L94" s="4">
        <f t="shared" si="75"/>
        <v>3.5392304845413376</v>
      </c>
      <c r="M94" s="8">
        <f t="shared" si="75"/>
        <v>2.453206217059602</v>
      </c>
      <c r="N94" s="7">
        <f t="shared" si="75"/>
        <v>0.13390326741276234</v>
      </c>
      <c r="O94" s="7">
        <f t="shared" si="75"/>
        <v>0.001658812761483247</v>
      </c>
      <c r="P94" s="7">
        <f t="shared" si="75"/>
        <v>-0.11704903669290095</v>
      </c>
      <c r="Q94" s="7">
        <f t="shared" si="75"/>
        <v>-0.217723018103668</v>
      </c>
      <c r="R94" s="7">
        <f t="shared" si="75"/>
        <v>-0.2772675148645045</v>
      </c>
      <c r="S94" s="7">
        <f t="shared" si="75"/>
        <v>-0.22652244824913004</v>
      </c>
      <c r="T94" s="7">
        <f t="shared" si="75"/>
        <v>0.12374563246468906</v>
      </c>
      <c r="U94" s="7">
        <f t="shared" si="75"/>
        <v>1.2802831629823497</v>
      </c>
      <c r="V94" s="7">
        <f t="shared" si="75"/>
        <v>4.542995560524982</v>
      </c>
      <c r="W94" s="7">
        <f t="shared" si="75"/>
        <v>12.610326517229863</v>
      </c>
      <c r="X94" s="7">
        <f t="shared" si="75"/>
        <v>26.177246171598394</v>
      </c>
      <c r="Y94" s="7">
        <f t="shared" si="75"/>
        <v>22.71040955799417</v>
      </c>
      <c r="Z94" s="7">
        <f t="shared" si="75"/>
        <v>-1.2000000000096562</v>
      </c>
    </row>
    <row r="95" spans="1:26" s="11" customFormat="1" ht="15" customHeight="1">
      <c r="A95" s="50" t="s">
        <v>16</v>
      </c>
      <c r="B95" s="3">
        <f aca="true" t="shared" si="76" ref="B95:Z95">$D$6*(B91^2+B92^2)/2+$F$13*B51^2/2</f>
        <v>27.93999999999709</v>
      </c>
      <c r="C95" s="3">
        <f t="shared" si="76"/>
        <v>27.940000000000047</v>
      </c>
      <c r="D95" s="3">
        <f t="shared" si="76"/>
        <v>27.940000000000005</v>
      </c>
      <c r="E95" s="3">
        <f t="shared" si="76"/>
        <v>27.940000000000012</v>
      </c>
      <c r="F95" s="3">
        <f t="shared" si="76"/>
        <v>27.940000000000005</v>
      </c>
      <c r="G95" s="3">
        <f t="shared" si="76"/>
        <v>27.939999999999998</v>
      </c>
      <c r="H95" s="3">
        <f t="shared" si="76"/>
        <v>27.94</v>
      </c>
      <c r="I95" s="3">
        <f t="shared" si="76"/>
        <v>27.939999999999998</v>
      </c>
      <c r="J95" s="3">
        <f t="shared" si="76"/>
        <v>27.93999999999999</v>
      </c>
      <c r="K95" s="3">
        <f t="shared" si="76"/>
        <v>27.939999999999998</v>
      </c>
      <c r="L95" s="3">
        <f t="shared" si="76"/>
        <v>27.939999999999998</v>
      </c>
      <c r="M95" s="6">
        <f t="shared" si="76"/>
        <v>27.940000000000104</v>
      </c>
      <c r="N95" s="7">
        <f t="shared" si="76"/>
        <v>3.1082297097794482</v>
      </c>
      <c r="O95" s="7">
        <f t="shared" si="76"/>
        <v>3.2440425392916223</v>
      </c>
      <c r="P95" s="7">
        <f t="shared" si="76"/>
        <v>3.6025418492215047</v>
      </c>
      <c r="Q95" s="7">
        <f t="shared" si="76"/>
        <v>4.26716921599483</v>
      </c>
      <c r="R95" s="7">
        <f t="shared" si="76"/>
        <v>5.412707894620605</v>
      </c>
      <c r="S95" s="7">
        <f t="shared" si="76"/>
        <v>7.394119948886825</v>
      </c>
      <c r="T95" s="7">
        <f t="shared" si="76"/>
        <v>10.95667818243875</v>
      </c>
      <c r="U95" s="7">
        <f t="shared" si="76"/>
        <v>17.749469139922113</v>
      </c>
      <c r="V95" s="7">
        <f t="shared" si="76"/>
        <v>31.588287690589397</v>
      </c>
      <c r="W95" s="7">
        <f t="shared" si="76"/>
        <v>61.17601157670918</v>
      </c>
      <c r="X95" s="7">
        <f t="shared" si="76"/>
        <v>121.94831856921286</v>
      </c>
      <c r="Y95" s="7">
        <f t="shared" si="76"/>
        <v>212.65842252867748</v>
      </c>
      <c r="Z95" s="7">
        <f t="shared" si="76"/>
        <v>27.93999999999714</v>
      </c>
    </row>
    <row r="96" spans="1:26" s="11" customFormat="1" ht="15.75">
      <c r="A96" s="1" t="s">
        <v>37</v>
      </c>
      <c r="B96" s="4">
        <f>$D$6*B93</f>
        <v>9.999999999994184</v>
      </c>
      <c r="C96" s="4">
        <f aca="true" t="shared" si="77" ref="C96:Z96">$D$6*C93</f>
        <v>10.280423971136747</v>
      </c>
      <c r="D96" s="4">
        <f t="shared" si="77"/>
        <v>9.860254037844397</v>
      </c>
      <c r="E96" s="4">
        <f t="shared" si="77"/>
        <v>8.76812408671321</v>
      </c>
      <c r="F96" s="4">
        <f t="shared" si="77"/>
        <v>7.078460969082673</v>
      </c>
      <c r="G96" s="4">
        <f t="shared" si="77"/>
        <v>4.906412434118996</v>
      </c>
      <c r="H96" s="4">
        <f t="shared" si="77"/>
        <v>2.4000000000000283</v>
      </c>
      <c r="I96" s="4">
        <f t="shared" si="77"/>
        <v>-0.2699684679314167</v>
      </c>
      <c r="J96" s="4">
        <f t="shared" si="77"/>
        <v>-2.921539030917315</v>
      </c>
      <c r="K96" s="4">
        <f t="shared" si="77"/>
        <v>-5.374011537017736</v>
      </c>
      <c r="L96" s="4">
        <f t="shared" si="77"/>
        <v>-7.460254037844365</v>
      </c>
      <c r="M96" s="8">
        <f t="shared" si="77"/>
        <v>-9.038092554644553</v>
      </c>
      <c r="N96" s="7">
        <f t="shared" si="77"/>
        <v>-1.1151314171823774</v>
      </c>
      <c r="O96" s="7">
        <f t="shared" si="77"/>
        <v>-1.291422372873639</v>
      </c>
      <c r="P96" s="7">
        <f t="shared" si="77"/>
        <v>-1.6219403214380672</v>
      </c>
      <c r="Q96" s="7">
        <f t="shared" si="77"/>
        <v>-2.1677778976189823</v>
      </c>
      <c r="R96" s="7">
        <f t="shared" si="77"/>
        <v>-3.0436106436721198</v>
      </c>
      <c r="S96" s="7">
        <f t="shared" si="77"/>
        <v>-4.4497753097629795</v>
      </c>
      <c r="T96" s="7">
        <f t="shared" si="77"/>
        <v>-6.710978650132757</v>
      </c>
      <c r="U96" s="7">
        <f t="shared" si="77"/>
        <v>-10.235107248058235</v>
      </c>
      <c r="V96" s="7">
        <f t="shared" si="77"/>
        <v>-14.888388111023856</v>
      </c>
      <c r="W96" s="7">
        <f t="shared" si="77"/>
        <v>-16.56882774473525</v>
      </c>
      <c r="X96" s="7">
        <f t="shared" si="77"/>
        <v>3.4615436751436057</v>
      </c>
      <c r="Y96" s="7">
        <f t="shared" si="77"/>
        <v>67.33933587550264</v>
      </c>
      <c r="Z96" s="7">
        <f t="shared" si="77"/>
        <v>9.999999999994282</v>
      </c>
    </row>
    <row r="97" spans="1:26" s="11" customFormat="1" ht="15.75">
      <c r="A97" s="1" t="s">
        <v>38</v>
      </c>
      <c r="B97" s="4">
        <f>$D$6*B94</f>
        <v>-2.4000000000196486</v>
      </c>
      <c r="C97" s="4">
        <f aca="true" t="shared" si="78" ref="C97:Z97">$D$6*C94</f>
        <v>0.2699684679314578</v>
      </c>
      <c r="D97" s="4">
        <f t="shared" si="78"/>
        <v>2.92153903091732</v>
      </c>
      <c r="E97" s="4">
        <f t="shared" si="78"/>
        <v>5.374011537017737</v>
      </c>
      <c r="F97" s="4">
        <f t="shared" si="78"/>
        <v>7.460254037844368</v>
      </c>
      <c r="G97" s="4">
        <f t="shared" si="78"/>
        <v>9.038092554644619</v>
      </c>
      <c r="H97" s="4">
        <f t="shared" si="78"/>
        <v>9.999999999999993</v>
      </c>
      <c r="I97" s="4">
        <f t="shared" si="78"/>
        <v>10.280423971136733</v>
      </c>
      <c r="J97" s="4">
        <f t="shared" si="78"/>
        <v>9.860254037844392</v>
      </c>
      <c r="K97" s="4">
        <f t="shared" si="78"/>
        <v>8.768124086713204</v>
      </c>
      <c r="L97" s="4">
        <f t="shared" si="78"/>
        <v>7.078460969082675</v>
      </c>
      <c r="M97" s="8">
        <f t="shared" si="78"/>
        <v>4.906412434119204</v>
      </c>
      <c r="N97" s="7">
        <f t="shared" si="78"/>
        <v>0.2678065348255247</v>
      </c>
      <c r="O97" s="7">
        <f t="shared" si="78"/>
        <v>0.003317625522966494</v>
      </c>
      <c r="P97" s="7">
        <f t="shared" si="78"/>
        <v>-0.2340980733858019</v>
      </c>
      <c r="Q97" s="7">
        <f t="shared" si="78"/>
        <v>-0.435446036207336</v>
      </c>
      <c r="R97" s="7">
        <f t="shared" si="78"/>
        <v>-0.554535029729009</v>
      </c>
      <c r="S97" s="7">
        <f t="shared" si="78"/>
        <v>-0.4530448964982601</v>
      </c>
      <c r="T97" s="7">
        <f t="shared" si="78"/>
        <v>0.24749126492937812</v>
      </c>
      <c r="U97" s="7">
        <f t="shared" si="78"/>
        <v>2.5605663259646994</v>
      </c>
      <c r="V97" s="7">
        <f t="shared" si="78"/>
        <v>9.085991121049965</v>
      </c>
      <c r="W97" s="7">
        <f t="shared" si="78"/>
        <v>25.220653034459726</v>
      </c>
      <c r="X97" s="7">
        <f t="shared" si="78"/>
        <v>52.35449234319679</v>
      </c>
      <c r="Y97" s="7">
        <f t="shared" si="78"/>
        <v>45.42081911598834</v>
      </c>
      <c r="Z97" s="7">
        <f t="shared" si="78"/>
        <v>-2.4000000000193125</v>
      </c>
    </row>
    <row r="98" spans="1:26" s="11" customFormat="1" ht="16.5" thickBot="1">
      <c r="A98" s="2" t="s">
        <v>39</v>
      </c>
      <c r="B98" s="5">
        <f aca="true" t="shared" si="79" ref="B98:Z98">$F$13*B55</f>
        <v>5.969447805238471E-12</v>
      </c>
      <c r="C98" s="125">
        <f t="shared" si="79"/>
        <v>-1.2933925840340756E-14</v>
      </c>
      <c r="D98" s="5">
        <f t="shared" si="79"/>
        <v>0</v>
      </c>
      <c r="E98" s="5">
        <f t="shared" si="79"/>
        <v>0</v>
      </c>
      <c r="F98" s="5">
        <f t="shared" si="79"/>
        <v>0</v>
      </c>
      <c r="G98" s="5">
        <f t="shared" si="79"/>
        <v>0</v>
      </c>
      <c r="H98" s="5">
        <f t="shared" si="79"/>
        <v>-6.670479808498803E-16</v>
      </c>
      <c r="I98" s="5">
        <f t="shared" si="79"/>
        <v>0</v>
      </c>
      <c r="J98" s="5">
        <f t="shared" si="79"/>
        <v>0</v>
      </c>
      <c r="K98" s="5">
        <f t="shared" si="79"/>
        <v>0</v>
      </c>
      <c r="L98" s="5">
        <f t="shared" si="79"/>
        <v>0</v>
      </c>
      <c r="M98" s="9">
        <f t="shared" si="79"/>
        <v>6.247657039882456E-14</v>
      </c>
      <c r="N98" s="7">
        <f t="shared" si="79"/>
        <v>-0.023288786562524876</v>
      </c>
      <c r="O98" s="7">
        <f t="shared" si="79"/>
        <v>-0.14351671798373086</v>
      </c>
      <c r="P98" s="7">
        <f t="shared" si="79"/>
        <v>-0.28089977328006893</v>
      </c>
      <c r="Q98" s="7">
        <f t="shared" si="79"/>
        <v>-0.4539906545888267</v>
      </c>
      <c r="R98" s="7">
        <f t="shared" si="79"/>
        <v>-0.6904449602910321</v>
      </c>
      <c r="S98" s="7">
        <f t="shared" si="79"/>
        <v>-1.0354388958542053</v>
      </c>
      <c r="T98" s="7">
        <f t="shared" si="79"/>
        <v>-1.566451315072929</v>
      </c>
      <c r="U98" s="7">
        <f t="shared" si="79"/>
        <v>-2.416714142634598</v>
      </c>
      <c r="V98" s="7">
        <f t="shared" si="79"/>
        <v>-3.7927225737852623</v>
      </c>
      <c r="W98" s="7">
        <f t="shared" si="79"/>
        <v>-5.860378199132417</v>
      </c>
      <c r="X98" s="7">
        <f t="shared" si="79"/>
        <v>-7.9260383807636945</v>
      </c>
      <c r="Y98" s="7">
        <f t="shared" si="79"/>
        <v>-6.329874329932086</v>
      </c>
      <c r="Z98" s="7">
        <f t="shared" si="79"/>
        <v>5.867623535639516E-12</v>
      </c>
    </row>
    <row r="99" spans="1:13" s="11" customFormat="1" ht="16.5" thickBot="1">
      <c r="A99" s="67"/>
      <c r="B99" s="86"/>
      <c r="C99" s="86"/>
      <c r="D99" s="86"/>
      <c r="E99" s="84"/>
      <c r="F99" s="118"/>
      <c r="G99" s="119" t="s">
        <v>91</v>
      </c>
      <c r="H99" s="86"/>
      <c r="I99" s="86"/>
      <c r="J99" s="86"/>
      <c r="K99" s="86"/>
      <c r="L99" s="86"/>
      <c r="M99" s="87"/>
    </row>
    <row r="100" spans="1:26" s="11" customFormat="1" ht="12.75">
      <c r="A100" s="50" t="s">
        <v>36</v>
      </c>
      <c r="B100" s="3">
        <f>B37</f>
        <v>53.699999999999996</v>
      </c>
      <c r="C100" s="3">
        <f aca="true" t="shared" si="80" ref="C100:I100">C37</f>
        <v>53.7</v>
      </c>
      <c r="D100" s="3">
        <f t="shared" si="80"/>
        <v>53.699999999999996</v>
      </c>
      <c r="E100" s="3">
        <f t="shared" si="80"/>
        <v>53.7</v>
      </c>
      <c r="F100" s="3">
        <f t="shared" si="80"/>
        <v>53.7</v>
      </c>
      <c r="G100" s="3">
        <f t="shared" si="80"/>
        <v>53.699999999999996</v>
      </c>
      <c r="H100" s="3">
        <f t="shared" si="80"/>
        <v>53.699999999999996</v>
      </c>
      <c r="I100" s="3">
        <f t="shared" si="80"/>
        <v>53.70000000000002</v>
      </c>
      <c r="J100" s="3">
        <f aca="true" t="shared" si="81" ref="J100:Z100">J37</f>
        <v>53.699999999999996</v>
      </c>
      <c r="K100" s="3">
        <f t="shared" si="81"/>
        <v>53.7</v>
      </c>
      <c r="L100" s="3">
        <f t="shared" si="81"/>
        <v>53.69999999999999</v>
      </c>
      <c r="M100" s="3">
        <f t="shared" si="81"/>
        <v>53.699999999999996</v>
      </c>
      <c r="N100" s="3">
        <f t="shared" si="81"/>
        <v>53.699999999999996</v>
      </c>
      <c r="O100" s="3">
        <f t="shared" si="81"/>
        <v>53.7</v>
      </c>
      <c r="P100" s="3">
        <f t="shared" si="81"/>
        <v>53.70000000000002</v>
      </c>
      <c r="Q100" s="3">
        <f t="shared" si="81"/>
        <v>53.7</v>
      </c>
      <c r="R100" s="3">
        <f t="shared" si="81"/>
        <v>53.699999999999996</v>
      </c>
      <c r="S100" s="3">
        <f t="shared" si="81"/>
        <v>53.7</v>
      </c>
      <c r="T100" s="3">
        <f t="shared" si="81"/>
        <v>53.699999999999996</v>
      </c>
      <c r="U100" s="3">
        <f t="shared" si="81"/>
        <v>53.69999999999999</v>
      </c>
      <c r="V100" s="3">
        <f t="shared" si="81"/>
        <v>53.70000000000002</v>
      </c>
      <c r="W100" s="3">
        <f t="shared" si="81"/>
        <v>53.69999999999999</v>
      </c>
      <c r="X100" s="3">
        <f t="shared" si="81"/>
        <v>53.699999999999996</v>
      </c>
      <c r="Y100" s="3">
        <f t="shared" si="81"/>
        <v>53.7</v>
      </c>
      <c r="Z100" s="3">
        <f t="shared" si="81"/>
        <v>53.7</v>
      </c>
    </row>
    <row r="101" spans="1:26" s="11" customFormat="1" ht="12.75">
      <c r="A101" s="51" t="s">
        <v>43</v>
      </c>
      <c r="B101" s="4">
        <f>B70</f>
        <v>31.99999999999897</v>
      </c>
      <c r="C101" s="4">
        <f aca="true" t="shared" si="82" ref="C101:I101">C70</f>
        <v>32.00000000000003</v>
      </c>
      <c r="D101" s="4">
        <f t="shared" si="82"/>
        <v>32.00000000000001</v>
      </c>
      <c r="E101" s="4">
        <f t="shared" si="82"/>
        <v>32.000000000000014</v>
      </c>
      <c r="F101" s="4">
        <f t="shared" si="82"/>
        <v>32</v>
      </c>
      <c r="G101" s="4">
        <f t="shared" si="82"/>
        <v>31.999999999999996</v>
      </c>
      <c r="H101" s="4">
        <f t="shared" si="82"/>
        <v>32.00000000000001</v>
      </c>
      <c r="I101" s="4">
        <f t="shared" si="82"/>
        <v>32</v>
      </c>
      <c r="J101" s="4">
        <f aca="true" t="shared" si="83" ref="J101:Z101">J70</f>
        <v>32.00000000000002</v>
      </c>
      <c r="K101" s="4">
        <f t="shared" si="83"/>
        <v>31.999999999999993</v>
      </c>
      <c r="L101" s="4">
        <f t="shared" si="83"/>
        <v>31.999999999999993</v>
      </c>
      <c r="M101" s="4">
        <f t="shared" si="83"/>
        <v>31.999999999999996</v>
      </c>
      <c r="N101" s="4">
        <f t="shared" si="83"/>
        <v>82.09051595799905</v>
      </c>
      <c r="O101" s="4">
        <f t="shared" si="83"/>
        <v>72.73589226989378</v>
      </c>
      <c r="P101" s="4">
        <f t="shared" si="83"/>
        <v>61.813901218702675</v>
      </c>
      <c r="Q101" s="4">
        <f t="shared" si="83"/>
        <v>49.49514442841578</v>
      </c>
      <c r="R101" s="4">
        <f t="shared" si="83"/>
        <v>36.18408366658194</v>
      </c>
      <c r="S101" s="4">
        <f t="shared" si="83"/>
        <v>22.977250579459582</v>
      </c>
      <c r="T101" s="4">
        <f t="shared" si="83"/>
        <v>12.76001820141302</v>
      </c>
      <c r="U101" s="4">
        <f t="shared" si="83"/>
        <v>12.893439548795136</v>
      </c>
      <c r="V101" s="4">
        <f t="shared" si="83"/>
        <v>41.51570660227393</v>
      </c>
      <c r="W101" s="4">
        <f t="shared" si="83"/>
        <v>138.84092268562318</v>
      </c>
      <c r="X101" s="4">
        <f t="shared" si="83"/>
        <v>361.4829175010533</v>
      </c>
      <c r="Y101" s="4">
        <f t="shared" si="83"/>
        <v>636.8522230852393</v>
      </c>
      <c r="Z101" s="4">
        <f t="shared" si="83"/>
        <v>31.9999999999989</v>
      </c>
    </row>
    <row r="102" spans="1:26" s="11" customFormat="1" ht="12.75">
      <c r="A102" s="51" t="s">
        <v>16</v>
      </c>
      <c r="B102" s="4">
        <f>B95</f>
        <v>27.93999999999709</v>
      </c>
      <c r="C102" s="4">
        <f aca="true" t="shared" si="84" ref="C102:I102">C95</f>
        <v>27.940000000000047</v>
      </c>
      <c r="D102" s="4">
        <f t="shared" si="84"/>
        <v>27.940000000000005</v>
      </c>
      <c r="E102" s="4">
        <f t="shared" si="84"/>
        <v>27.940000000000012</v>
      </c>
      <c r="F102" s="4">
        <f t="shared" si="84"/>
        <v>27.940000000000005</v>
      </c>
      <c r="G102" s="4">
        <f t="shared" si="84"/>
        <v>27.939999999999998</v>
      </c>
      <c r="H102" s="4">
        <f t="shared" si="84"/>
        <v>27.94</v>
      </c>
      <c r="I102" s="4">
        <f t="shared" si="84"/>
        <v>27.939999999999998</v>
      </c>
      <c r="J102" s="4">
        <f aca="true" t="shared" si="85" ref="J102:Z102">J95</f>
        <v>27.93999999999999</v>
      </c>
      <c r="K102" s="4">
        <f t="shared" si="85"/>
        <v>27.939999999999998</v>
      </c>
      <c r="L102" s="4">
        <f t="shared" si="85"/>
        <v>27.939999999999998</v>
      </c>
      <c r="M102" s="4">
        <f t="shared" si="85"/>
        <v>27.940000000000104</v>
      </c>
      <c r="N102" s="4">
        <f t="shared" si="85"/>
        <v>3.1082297097794482</v>
      </c>
      <c r="O102" s="4">
        <f t="shared" si="85"/>
        <v>3.2440425392916223</v>
      </c>
      <c r="P102" s="4">
        <f t="shared" si="85"/>
        <v>3.6025418492215047</v>
      </c>
      <c r="Q102" s="4">
        <f t="shared" si="85"/>
        <v>4.26716921599483</v>
      </c>
      <c r="R102" s="4">
        <f t="shared" si="85"/>
        <v>5.412707894620605</v>
      </c>
      <c r="S102" s="4">
        <f t="shared" si="85"/>
        <v>7.394119948886825</v>
      </c>
      <c r="T102" s="4">
        <f t="shared" si="85"/>
        <v>10.95667818243875</v>
      </c>
      <c r="U102" s="4">
        <f t="shared" si="85"/>
        <v>17.749469139922113</v>
      </c>
      <c r="V102" s="4">
        <f t="shared" si="85"/>
        <v>31.588287690589397</v>
      </c>
      <c r="W102" s="4">
        <f t="shared" si="85"/>
        <v>61.17601157670918</v>
      </c>
      <c r="X102" s="4">
        <f t="shared" si="85"/>
        <v>121.94831856921286</v>
      </c>
      <c r="Y102" s="4">
        <f t="shared" si="85"/>
        <v>212.65842252867748</v>
      </c>
      <c r="Z102" s="4">
        <f t="shared" si="85"/>
        <v>27.93999999999714</v>
      </c>
    </row>
    <row r="103" spans="1:26" s="11" customFormat="1" ht="13.5" thickBot="1">
      <c r="A103" s="52" t="s">
        <v>44</v>
      </c>
      <c r="B103" s="5">
        <f>SUM(B100:B102)</f>
        <v>113.63999999999606</v>
      </c>
      <c r="C103" s="5">
        <f aca="true" t="shared" si="86" ref="C103:K103">SUM(C100:C102)</f>
        <v>113.64000000000007</v>
      </c>
      <c r="D103" s="5">
        <f t="shared" si="86"/>
        <v>113.64000000000001</v>
      </c>
      <c r="E103" s="5">
        <f t="shared" si="86"/>
        <v>113.64000000000003</v>
      </c>
      <c r="F103" s="5">
        <f t="shared" si="86"/>
        <v>113.64000000000001</v>
      </c>
      <c r="G103" s="5">
        <f t="shared" si="86"/>
        <v>113.63999999999999</v>
      </c>
      <c r="H103" s="5">
        <f t="shared" si="86"/>
        <v>113.64</v>
      </c>
      <c r="I103" s="5">
        <f t="shared" si="86"/>
        <v>113.64000000000001</v>
      </c>
      <c r="J103" s="5">
        <f t="shared" si="86"/>
        <v>113.64000000000001</v>
      </c>
      <c r="K103" s="5">
        <f t="shared" si="86"/>
        <v>113.63999999999999</v>
      </c>
      <c r="L103" s="5">
        <f aca="true" t="shared" si="87" ref="L103:Z103">SUM(L100:L102)</f>
        <v>113.63999999999999</v>
      </c>
      <c r="M103" s="9">
        <f t="shared" si="87"/>
        <v>113.6400000000001</v>
      </c>
      <c r="N103" s="11">
        <f t="shared" si="87"/>
        <v>138.89874566777848</v>
      </c>
      <c r="O103" s="11">
        <f t="shared" si="87"/>
        <v>129.6799348091854</v>
      </c>
      <c r="P103" s="11">
        <f t="shared" si="87"/>
        <v>119.11644306792421</v>
      </c>
      <c r="Q103" s="11">
        <f t="shared" si="87"/>
        <v>107.4623136444106</v>
      </c>
      <c r="R103" s="11">
        <f t="shared" si="87"/>
        <v>95.29679156120255</v>
      </c>
      <c r="S103" s="11">
        <f t="shared" si="87"/>
        <v>84.0713705283464</v>
      </c>
      <c r="T103" s="11">
        <f t="shared" si="87"/>
        <v>77.41669638385177</v>
      </c>
      <c r="U103" s="11">
        <f t="shared" si="87"/>
        <v>84.34290868871723</v>
      </c>
      <c r="V103" s="11">
        <f t="shared" si="87"/>
        <v>126.80399429286334</v>
      </c>
      <c r="W103" s="11">
        <f t="shared" si="87"/>
        <v>253.71693426233236</v>
      </c>
      <c r="X103" s="11">
        <f t="shared" si="87"/>
        <v>537.1312360702661</v>
      </c>
      <c r="Y103" s="11">
        <f t="shared" si="87"/>
        <v>903.2106456139168</v>
      </c>
      <c r="Z103" s="11">
        <f t="shared" si="87"/>
        <v>113.63999999999605</v>
      </c>
    </row>
    <row r="104" spans="1:26" s="11" customFormat="1" ht="13.5" thickBot="1">
      <c r="A104" s="135" t="s">
        <v>106</v>
      </c>
      <c r="B104" s="5">
        <f>C104</f>
        <v>1.5413311652642172E-11</v>
      </c>
      <c r="C104" s="5">
        <f>(C103-B103)/0.26</f>
        <v>1.5413311652642172E-11</v>
      </c>
      <c r="D104" s="5">
        <f aca="true" t="shared" si="88" ref="D104:Z104">(D103-C103)/0.26</f>
        <v>-2.186285340800308E-13</v>
      </c>
      <c r="E104" s="5">
        <f t="shared" si="88"/>
        <v>5.46571335200077E-14</v>
      </c>
      <c r="F104" s="5">
        <f t="shared" si="88"/>
        <v>-5.46571335200077E-14</v>
      </c>
      <c r="G104" s="5">
        <f t="shared" si="88"/>
        <v>-1.093142670400154E-13</v>
      </c>
      <c r="H104" s="5">
        <f t="shared" si="88"/>
        <v>5.46571335200077E-14</v>
      </c>
      <c r="I104" s="5">
        <f t="shared" si="88"/>
        <v>5.46571335200077E-14</v>
      </c>
      <c r="J104" s="5">
        <f t="shared" si="88"/>
        <v>0</v>
      </c>
      <c r="K104" s="5">
        <f t="shared" si="88"/>
        <v>-1.093142670400154E-13</v>
      </c>
      <c r="L104" s="5">
        <f t="shared" si="88"/>
        <v>0</v>
      </c>
      <c r="M104" s="5">
        <f t="shared" si="88"/>
        <v>4.372570681600616E-13</v>
      </c>
      <c r="N104" s="5">
        <f t="shared" si="88"/>
        <v>97.14902179914763</v>
      </c>
      <c r="O104" s="5">
        <f t="shared" si="88"/>
        <v>-35.45696484074264</v>
      </c>
      <c r="P104" s="5">
        <f t="shared" si="88"/>
        <v>-40.62881438946611</v>
      </c>
      <c r="Q104" s="5">
        <f t="shared" si="88"/>
        <v>-44.82357470582157</v>
      </c>
      <c r="R104" s="5">
        <f t="shared" si="88"/>
        <v>-46.790469550800175</v>
      </c>
      <c r="S104" s="5">
        <f t="shared" si="88"/>
        <v>-43.17469628021595</v>
      </c>
      <c r="T104" s="5">
        <f t="shared" si="88"/>
        <v>-25.594900555748595</v>
      </c>
      <c r="U104" s="5">
        <f t="shared" si="88"/>
        <v>26.639278095636378</v>
      </c>
      <c r="V104" s="5">
        <f t="shared" si="88"/>
        <v>163.31186770825425</v>
      </c>
      <c r="W104" s="5">
        <f t="shared" si="88"/>
        <v>488.12669219026543</v>
      </c>
      <c r="X104" s="5">
        <f t="shared" si="88"/>
        <v>1090.0550069535914</v>
      </c>
      <c r="Y104" s="5">
        <f t="shared" si="88"/>
        <v>1407.9977290140407</v>
      </c>
      <c r="Z104" s="5">
        <f t="shared" si="88"/>
        <v>-3036.810175438157</v>
      </c>
    </row>
    <row r="105" spans="1:26" s="139" customFormat="1" ht="13.5" thickBot="1">
      <c r="A105" s="137" t="s">
        <v>107</v>
      </c>
      <c r="B105" s="138">
        <f>B24-B27/B50</f>
        <v>152935422772583.7</v>
      </c>
      <c r="C105" s="138">
        <f aca="true" t="shared" si="89" ref="C105:Z105">C24-C27/C50</f>
        <v>-10588597772793006</v>
      </c>
      <c r="D105" s="138">
        <f t="shared" si="89"/>
        <v>-32913943861001804</v>
      </c>
      <c r="E105" s="138">
        <f t="shared" si="89"/>
        <v>-17915713749569416</v>
      </c>
      <c r="F105" s="138" t="e">
        <f t="shared" si="89"/>
        <v>#DIV/0!</v>
      </c>
      <c r="G105" s="138" t="e">
        <f t="shared" si="89"/>
        <v>#DIV/0!</v>
      </c>
      <c r="H105" s="138">
        <f t="shared" si="89"/>
        <v>1883017392887256.8</v>
      </c>
      <c r="I105" s="138" t="e">
        <f t="shared" si="89"/>
        <v>#DIV/0!</v>
      </c>
      <c r="J105" s="138">
        <f t="shared" si="89"/>
        <v>8228485965250452</v>
      </c>
      <c r="K105" s="138" t="e">
        <f t="shared" si="89"/>
        <v>#DIV/0!</v>
      </c>
      <c r="L105" s="138" t="e">
        <f t="shared" si="89"/>
        <v>#DIV/0!</v>
      </c>
      <c r="M105" s="138">
        <f t="shared" si="89"/>
        <v>-3663557988388187.5</v>
      </c>
      <c r="N105" s="138">
        <f t="shared" si="89"/>
        <v>1.9990855209955636</v>
      </c>
      <c r="O105" s="138">
        <f t="shared" si="89"/>
        <v>1.9662704497342323</v>
      </c>
      <c r="P105" s="138">
        <f t="shared" si="89"/>
        <v>1.8794853372311149</v>
      </c>
      <c r="Q105" s="138">
        <f t="shared" si="89"/>
        <v>1.716995353776937</v>
      </c>
      <c r="R105" s="138">
        <f t="shared" si="89"/>
        <v>1.4276572980448756</v>
      </c>
      <c r="S105" s="138">
        <f t="shared" si="89"/>
        <v>0.881091639739353</v>
      </c>
      <c r="T105" s="138">
        <f t="shared" si="89"/>
        <v>-0.3507270036948468</v>
      </c>
      <c r="U105" s="138">
        <f t="shared" si="89"/>
        <v>-4.854101966249673</v>
      </c>
      <c r="V105" s="138">
        <f t="shared" si="89"/>
        <v>36.60287693260078</v>
      </c>
      <c r="W105" s="138">
        <f t="shared" si="89"/>
        <v>9.16916274921696</v>
      </c>
      <c r="X105" s="138">
        <f t="shared" si="89"/>
        <v>6.836253124199466</v>
      </c>
      <c r="Y105" s="138">
        <f t="shared" si="89"/>
        <v>6.137106612472744</v>
      </c>
      <c r="Z105" s="138">
        <f t="shared" si="89"/>
        <v>143703220324693.7</v>
      </c>
    </row>
    <row r="106" spans="1:26" s="139" customFormat="1" ht="13.5" thickBot="1">
      <c r="A106" s="137" t="s">
        <v>108</v>
      </c>
      <c r="B106" s="138">
        <f>B25+B26/B50</f>
        <v>8015005881224.159</v>
      </c>
      <c r="C106" s="138">
        <f aca="true" t="shared" si="90" ref="C106:Z106">C25+C26/C50</f>
        <v>-3440443971868332</v>
      </c>
      <c r="D106" s="138">
        <f t="shared" si="90"/>
        <v>-21374565065411156</v>
      </c>
      <c r="E106" s="138">
        <f t="shared" si="90"/>
        <v>-19897415902369230</v>
      </c>
      <c r="F106" s="138" t="e">
        <f t="shared" si="90"/>
        <v>#DIV/0!</v>
      </c>
      <c r="G106" s="138" t="e">
        <f t="shared" si="90"/>
        <v>#DIV/0!</v>
      </c>
      <c r="H106" s="138">
        <f t="shared" si="90"/>
        <v>-35930112259051400</v>
      </c>
      <c r="I106" s="138" t="e">
        <f t="shared" si="90"/>
        <v>#DIV/0!</v>
      </c>
      <c r="J106" s="138">
        <f t="shared" si="90"/>
        <v>-12670757243129194</v>
      </c>
      <c r="K106" s="138" t="e">
        <f t="shared" si="90"/>
        <v>#DIV/0!</v>
      </c>
      <c r="L106" s="138" t="e">
        <f t="shared" si="90"/>
        <v>#DIV/0!</v>
      </c>
      <c r="M106" s="138">
        <f t="shared" si="90"/>
        <v>778713289490537.2</v>
      </c>
      <c r="N106" s="138">
        <f t="shared" si="90"/>
        <v>0.10476763275225864</v>
      </c>
      <c r="O106" s="138">
        <f t="shared" si="90"/>
        <v>0.6388799972393868</v>
      </c>
      <c r="P106" s="138">
        <f t="shared" si="90"/>
        <v>1.2205520493012703</v>
      </c>
      <c r="Q106" s="138">
        <f t="shared" si="90"/>
        <v>1.9069165278082427</v>
      </c>
      <c r="R106" s="138">
        <f t="shared" si="90"/>
        <v>2.8019352114039675</v>
      </c>
      <c r="S106" s="138">
        <f t="shared" si="90"/>
        <v>4.145210257527506</v>
      </c>
      <c r="T106" s="138">
        <f t="shared" si="90"/>
        <v>6.692269897578752</v>
      </c>
      <c r="U106" s="138">
        <f t="shared" si="90"/>
        <v>14.93938970929667</v>
      </c>
      <c r="V106" s="138">
        <f t="shared" si="90"/>
        <v>-56.363487763328905</v>
      </c>
      <c r="W106" s="138">
        <f t="shared" si="90"/>
        <v>-8.255951222220055</v>
      </c>
      <c r="X106" s="138">
        <f t="shared" si="90"/>
        <v>-3.4832449459654304</v>
      </c>
      <c r="Y106" s="138">
        <f t="shared" si="90"/>
        <v>-1.304482280149563</v>
      </c>
      <c r="Z106" s="138">
        <f t="shared" si="90"/>
        <v>7531166653038.753</v>
      </c>
    </row>
    <row r="107" spans="1:26" s="11" customFormat="1" ht="13.5" thickBot="1">
      <c r="A107" s="135" t="s">
        <v>111</v>
      </c>
      <c r="B107" s="5">
        <f>B50^4+B54^2</f>
        <v>9.898280684612052E-25</v>
      </c>
      <c r="C107" s="5">
        <f aca="true" t="shared" si="91" ref="C107:Z107">C50^4+C54^2</f>
        <v>4.20311123090858E-30</v>
      </c>
      <c r="D107" s="5">
        <f t="shared" si="91"/>
        <v>1.079160096297108E-64</v>
      </c>
      <c r="E107" s="5">
        <f t="shared" si="91"/>
        <v>4.981350337502452E-64</v>
      </c>
      <c r="F107" s="5">
        <f t="shared" si="91"/>
        <v>0</v>
      </c>
      <c r="G107" s="5">
        <f t="shared" si="91"/>
        <v>0</v>
      </c>
      <c r="H107" s="5">
        <f t="shared" si="91"/>
        <v>3.385415469675561E-35</v>
      </c>
      <c r="I107" s="5">
        <f t="shared" si="91"/>
        <v>0</v>
      </c>
      <c r="J107" s="5">
        <f t="shared" si="91"/>
        <v>4.913549015580859E-63</v>
      </c>
      <c r="K107" s="5">
        <f t="shared" si="91"/>
        <v>0</v>
      </c>
      <c r="L107" s="5">
        <f t="shared" si="91"/>
        <v>0</v>
      </c>
      <c r="M107" s="5">
        <f t="shared" si="91"/>
        <v>1.0860016513173372E-28</v>
      </c>
      <c r="N107" s="5">
        <f t="shared" si="91"/>
        <v>0.19735046025641156</v>
      </c>
      <c r="O107" s="5">
        <f t="shared" si="91"/>
        <v>0.19118011304475233</v>
      </c>
      <c r="P107" s="5">
        <f t="shared" si="91"/>
        <v>0.1775060320304145</v>
      </c>
      <c r="Q107" s="5">
        <f t="shared" si="91"/>
        <v>0.16063256198393838</v>
      </c>
      <c r="R107" s="5">
        <f t="shared" si="91"/>
        <v>0.1512125854943065</v>
      </c>
      <c r="S107" s="5">
        <f t="shared" si="91"/>
        <v>0.17471530057674062</v>
      </c>
      <c r="T107" s="5">
        <f t="shared" si="91"/>
        <v>0.2921605856342286</v>
      </c>
      <c r="U107" s="5">
        <f t="shared" si="91"/>
        <v>0.6506421322071871</v>
      </c>
      <c r="V107" s="5">
        <f t="shared" si="91"/>
        <v>1.5983209871931272</v>
      </c>
      <c r="W107" s="5">
        <f t="shared" si="91"/>
        <v>3.8689607742473773</v>
      </c>
      <c r="X107" s="5">
        <f t="shared" si="91"/>
        <v>8.387541660326114</v>
      </c>
      <c r="Y107" s="5">
        <f t="shared" si="91"/>
        <v>14.02199604826024</v>
      </c>
      <c r="Z107" s="5">
        <f t="shared" si="91"/>
        <v>9.563524908947991E-25</v>
      </c>
    </row>
    <row r="108" spans="1:26" s="139" customFormat="1" ht="13.5" thickBot="1">
      <c r="A108" s="137" t="s">
        <v>109</v>
      </c>
      <c r="B108" s="138">
        <f>B24+(B50^2*B28-B54*B29)/B107</f>
        <v>210416732634.80164</v>
      </c>
      <c r="C108" s="138">
        <f aca="true" t="shared" si="92" ref="C108:Z108">C24+(C50^2*C28-C54*C29)/C107</f>
        <v>-602916145171299</v>
      </c>
      <c r="D108" s="138">
        <f t="shared" si="92"/>
        <v>-3.2293004604272564E+32</v>
      </c>
      <c r="E108" s="138">
        <f t="shared" si="92"/>
        <v>-1.1992158037095203E+32</v>
      </c>
      <c r="F108" s="138" t="e">
        <f t="shared" si="92"/>
        <v>#DIV/0!</v>
      </c>
      <c r="G108" s="138" t="e">
        <f t="shared" si="92"/>
        <v>#DIV/0!</v>
      </c>
      <c r="H108" s="138">
        <f t="shared" si="92"/>
        <v>6.865282463219693E+17</v>
      </c>
      <c r="I108" s="138" t="e">
        <f t="shared" si="92"/>
        <v>#DIV/0!</v>
      </c>
      <c r="J108" s="138">
        <f t="shared" si="92"/>
        <v>3.1079291479013984E+31</v>
      </c>
      <c r="K108" s="138" t="e">
        <f t="shared" si="92"/>
        <v>#DIV/0!</v>
      </c>
      <c r="L108" s="138" t="e">
        <f t="shared" si="92"/>
        <v>#DIV/0!</v>
      </c>
      <c r="M108" s="138">
        <f t="shared" si="92"/>
        <v>-79803816032470.53</v>
      </c>
      <c r="N108" s="138">
        <f t="shared" si="92"/>
        <v>5.004116407346988</v>
      </c>
      <c r="O108" s="138">
        <f t="shared" si="92"/>
        <v>5.153357174986244</v>
      </c>
      <c r="P108" s="138">
        <f t="shared" si="92"/>
        <v>5.557781756697023</v>
      </c>
      <c r="Q108" s="138">
        <f t="shared" si="92"/>
        <v>6.307696531272628</v>
      </c>
      <c r="R108" s="138">
        <f t="shared" si="92"/>
        <v>7.372749919377233</v>
      </c>
      <c r="S108" s="138">
        <f t="shared" si="92"/>
        <v>8.01987736427817</v>
      </c>
      <c r="T108" s="138">
        <f t="shared" si="92"/>
        <v>7.248251902245352</v>
      </c>
      <c r="U108" s="138">
        <f t="shared" si="92"/>
        <v>5.867889155438381</v>
      </c>
      <c r="V108" s="138">
        <f t="shared" si="92"/>
        <v>4.826585681637237</v>
      </c>
      <c r="W108" s="138">
        <f t="shared" si="92"/>
        <v>4.147162276157725</v>
      </c>
      <c r="X108" s="138">
        <f t="shared" si="92"/>
        <v>3.6319586495837037</v>
      </c>
      <c r="Y108" s="138">
        <f t="shared" si="92"/>
        <v>3.1745308861882684</v>
      </c>
      <c r="Z108" s="138">
        <f t="shared" si="92"/>
        <v>214067707600.35504</v>
      </c>
    </row>
    <row r="109" spans="1:26" s="139" customFormat="1" ht="13.5" thickBot="1">
      <c r="A109" s="137" t="s">
        <v>110</v>
      </c>
      <c r="B109" s="138">
        <f>B25+(B54*B28+B50^2*B29)/B107</f>
        <v>-4014990436713.4346</v>
      </c>
      <c r="C109" s="138">
        <f aca="true" t="shared" si="93" ref="C109:Z109">C25+(C54*C28+C50^2*C29)/C107</f>
        <v>1855585094290884.5</v>
      </c>
      <c r="D109" s="138">
        <f t="shared" si="93"/>
        <v>-2.0971322397176768E+32</v>
      </c>
      <c r="E109" s="138">
        <f t="shared" si="93"/>
        <v>-1.3318640795807415E+32</v>
      </c>
      <c r="F109" s="138" t="e">
        <f t="shared" si="93"/>
        <v>#DIV/0!</v>
      </c>
      <c r="G109" s="138" t="e">
        <f t="shared" si="93"/>
        <v>#DIV/0!</v>
      </c>
      <c r="H109" s="138">
        <f t="shared" si="93"/>
        <v>35979420804813612</v>
      </c>
      <c r="I109" s="138" t="e">
        <f t="shared" si="93"/>
        <v>#DIV/0!</v>
      </c>
      <c r="J109" s="138">
        <f t="shared" si="93"/>
        <v>-4.785791204871477E+31</v>
      </c>
      <c r="K109" s="138" t="e">
        <f t="shared" si="93"/>
        <v>#DIV/0!</v>
      </c>
      <c r="L109" s="138" t="e">
        <f t="shared" si="93"/>
        <v>#DIV/0!</v>
      </c>
      <c r="M109" s="138">
        <f t="shared" si="93"/>
        <v>-375447435757620.7</v>
      </c>
      <c r="N109" s="138">
        <f t="shared" si="93"/>
        <v>0.10469568933939744</v>
      </c>
      <c r="O109" s="138">
        <f t="shared" si="93"/>
        <v>0.6219997395734074</v>
      </c>
      <c r="P109" s="138">
        <f t="shared" si="93"/>
        <v>1.093410674398966</v>
      </c>
      <c r="Q109" s="138">
        <f t="shared" si="93"/>
        <v>1.373685228567941</v>
      </c>
      <c r="R109" s="138">
        <f t="shared" si="93"/>
        <v>1.059703095682151</v>
      </c>
      <c r="S109" s="138">
        <f t="shared" si="93"/>
        <v>-0.27554828808307263</v>
      </c>
      <c r="T109" s="138">
        <f t="shared" si="93"/>
        <v>-1.7101854354969044</v>
      </c>
      <c r="U109" s="138">
        <f t="shared" si="93"/>
        <v>-2.03297685694809</v>
      </c>
      <c r="V109" s="138">
        <f t="shared" si="93"/>
        <v>-1.6230805853096966</v>
      </c>
      <c r="W109" s="138">
        <f t="shared" si="93"/>
        <v>-1.016452463932052</v>
      </c>
      <c r="X109" s="138">
        <f t="shared" si="93"/>
        <v>-0.4364779325500512</v>
      </c>
      <c r="Y109" s="138">
        <f t="shared" si="93"/>
        <v>-0.05942107505661298</v>
      </c>
      <c r="Z109" s="138">
        <f t="shared" si="93"/>
        <v>-4084655189074.66</v>
      </c>
    </row>
    <row r="110" spans="1:26" s="139" customFormat="1" ht="13.5" thickBot="1">
      <c r="A110" s="137" t="s">
        <v>112</v>
      </c>
      <c r="B110" s="138">
        <f>SQRT((B79^2+B80^2+(B77*B79+B78*B80)^2)/(B77^2+B78^2))</f>
        <v>0.99999999999987</v>
      </c>
      <c r="C110" s="138">
        <f aca="true" t="shared" si="94" ref="C110:Z110">SQRT((C79^2+C80^2+(C77*C79+C78*C80)^2)/(C77^2+C78^2))</f>
        <v>1.0000000000000013</v>
      </c>
      <c r="D110" s="138">
        <f t="shared" si="94"/>
        <v>0.9999999999999996</v>
      </c>
      <c r="E110" s="138">
        <f t="shared" si="94"/>
        <v>0.9999999999999994</v>
      </c>
      <c r="F110" s="138">
        <f t="shared" si="94"/>
        <v>1</v>
      </c>
      <c r="G110" s="138">
        <f t="shared" si="94"/>
        <v>1</v>
      </c>
      <c r="H110" s="138">
        <f t="shared" si="94"/>
        <v>1</v>
      </c>
      <c r="I110" s="138">
        <f t="shared" si="94"/>
        <v>1</v>
      </c>
      <c r="J110" s="138">
        <f t="shared" si="94"/>
        <v>1.0000000000000007</v>
      </c>
      <c r="K110" s="138">
        <f t="shared" si="94"/>
        <v>1</v>
      </c>
      <c r="L110" s="138">
        <f t="shared" si="94"/>
        <v>1</v>
      </c>
      <c r="M110" s="138">
        <f t="shared" si="94"/>
        <v>1.0000000000000058</v>
      </c>
      <c r="N110" s="138">
        <f t="shared" si="94"/>
        <v>0.5375763147145826</v>
      </c>
      <c r="O110" s="138">
        <f t="shared" si="94"/>
        <v>0.9100720570471308</v>
      </c>
      <c r="P110" s="138">
        <f t="shared" si="94"/>
        <v>1.5440797135984299</v>
      </c>
      <c r="Q110" s="138">
        <f t="shared" si="94"/>
        <v>2.390825318484422</v>
      </c>
      <c r="R110" s="138">
        <f t="shared" si="94"/>
        <v>3.5375440440065904</v>
      </c>
      <c r="S110" s="138">
        <f t="shared" si="94"/>
        <v>5.098912888881018</v>
      </c>
      <c r="T110" s="138">
        <f t="shared" si="94"/>
        <v>6.907006330128436</v>
      </c>
      <c r="U110" s="138">
        <f t="shared" si="94"/>
        <v>5.629701321791279</v>
      </c>
      <c r="V110" s="138">
        <f t="shared" si="94"/>
        <v>16.168691100395492</v>
      </c>
      <c r="W110" s="138">
        <f t="shared" si="94"/>
        <v>31.40848717426331</v>
      </c>
      <c r="X110" s="138">
        <f t="shared" si="94"/>
        <v>43.76349880922891</v>
      </c>
      <c r="Y110" s="138">
        <f t="shared" si="94"/>
        <v>35.20951521050867</v>
      </c>
      <c r="Z110" s="138">
        <f t="shared" si="94"/>
        <v>0.9999999999998829</v>
      </c>
    </row>
    <row r="111" spans="1:13" s="11" customFormat="1" ht="16.5" thickBot="1">
      <c r="A111" s="122"/>
      <c r="B111" s="123"/>
      <c r="C111" s="123"/>
      <c r="D111" s="123"/>
      <c r="E111" s="123"/>
      <c r="F111" s="47" t="s">
        <v>90</v>
      </c>
      <c r="G111" s="123"/>
      <c r="H111" s="123"/>
      <c r="I111" s="123"/>
      <c r="J111" s="123"/>
      <c r="K111" s="123"/>
      <c r="L111" s="123"/>
      <c r="M111" s="124"/>
    </row>
    <row r="112" spans="1:13" s="11" customFormat="1" ht="16.5" thickBot="1">
      <c r="A112" s="64"/>
      <c r="B112" s="88"/>
      <c r="C112" s="88"/>
      <c r="D112" s="88"/>
      <c r="E112" s="88"/>
      <c r="F112" s="120" t="s">
        <v>57</v>
      </c>
      <c r="G112" s="88"/>
      <c r="H112" s="88"/>
      <c r="I112" s="88"/>
      <c r="J112" s="88"/>
      <c r="K112" s="88"/>
      <c r="L112" s="88"/>
      <c r="M112" s="89"/>
    </row>
    <row r="113" spans="1:26" s="11" customFormat="1" ht="15.75">
      <c r="A113" s="10" t="s">
        <v>55</v>
      </c>
      <c r="B113" s="130">
        <f>B57</f>
        <v>11.994518139018295</v>
      </c>
      <c r="C113" s="130">
        <f aca="true" t="shared" si="95" ref="C113:I113">C57</f>
        <v>11.804226065180615</v>
      </c>
      <c r="D113" s="130">
        <f t="shared" si="95"/>
        <v>11.354682271781696</v>
      </c>
      <c r="E113" s="130">
        <f t="shared" si="95"/>
        <v>10.676522425435433</v>
      </c>
      <c r="F113" s="130">
        <f t="shared" si="95"/>
        <v>9.815961998958187</v>
      </c>
      <c r="G113" s="130">
        <f t="shared" si="95"/>
        <v>8.831646763271037</v>
      </c>
      <c r="H113" s="130">
        <f t="shared" si="95"/>
        <v>7.790656175028225</v>
      </c>
      <c r="I113" s="130">
        <f t="shared" si="95"/>
        <v>6.76393202250021</v>
      </c>
      <c r="J113" s="130">
        <f aca="true" t="shared" si="96" ref="J113:M114">J57</f>
        <v>5.821443859939892</v>
      </c>
      <c r="K113" s="130">
        <f t="shared" si="96"/>
        <v>5.027420698090424</v>
      </c>
      <c r="L113" s="130">
        <f t="shared" si="96"/>
        <v>4.435973903246529</v>
      </c>
      <c r="M113" s="131">
        <f t="shared" si="96"/>
        <v>4.087409597064778</v>
      </c>
      <c r="N113" s="132">
        <f aca="true" t="shared" si="97" ref="N113:Z113">N57</f>
        <v>4.000609466888273</v>
      </c>
      <c r="O113" s="132">
        <f t="shared" si="97"/>
        <v>4.022236359376736</v>
      </c>
      <c r="P113" s="132">
        <f t="shared" si="97"/>
        <v>4.077240247710903</v>
      </c>
      <c r="Q113" s="132">
        <f t="shared" si="97"/>
        <v>4.172405876152897</v>
      </c>
      <c r="R113" s="132">
        <f t="shared" si="97"/>
        <v>4.320429896964747</v>
      </c>
      <c r="S113" s="132">
        <f t="shared" si="97"/>
        <v>4.543303352439648</v>
      </c>
      <c r="T113" s="132">
        <f t="shared" si="97"/>
        <v>4.8786570505546605</v>
      </c>
      <c r="U113" s="132">
        <f t="shared" si="97"/>
        <v>5.391116509596711</v>
      </c>
      <c r="V113" s="132">
        <f t="shared" si="97"/>
        <v>6.189856132807031</v>
      </c>
      <c r="W113" s="132">
        <f t="shared" si="97"/>
        <v>7.4391378703378495</v>
      </c>
      <c r="X113" s="132">
        <f t="shared" si="97"/>
        <v>9.267523371874868</v>
      </c>
      <c r="Y113" s="132">
        <f t="shared" si="97"/>
        <v>11.276550091422322</v>
      </c>
      <c r="Z113" s="132">
        <f t="shared" si="97"/>
        <v>11.994518139018295</v>
      </c>
    </row>
    <row r="114" spans="1:26" s="11" customFormat="1" ht="15.75">
      <c r="A114" s="1" t="s">
        <v>56</v>
      </c>
      <c r="B114" s="133">
        <f>B58</f>
        <v>0.20934382497176862</v>
      </c>
      <c r="C114" s="133">
        <f aca="true" t="shared" si="98" ref="C114:I114">C58</f>
        <v>1.2360679774997896</v>
      </c>
      <c r="D114" s="133">
        <f t="shared" si="98"/>
        <v>2.178556140060108</v>
      </c>
      <c r="E114" s="133">
        <f t="shared" si="98"/>
        <v>2.972579301909576</v>
      </c>
      <c r="F114" s="133">
        <f t="shared" si="98"/>
        <v>3.5640260967534716</v>
      </c>
      <c r="G114" s="133">
        <f t="shared" si="98"/>
        <v>3.9125904029352236</v>
      </c>
      <c r="H114" s="133">
        <f t="shared" si="98"/>
        <v>3.994518139018295</v>
      </c>
      <c r="I114" s="133">
        <f t="shared" si="98"/>
        <v>3.804226065180615</v>
      </c>
      <c r="J114" s="133">
        <f t="shared" si="96"/>
        <v>3.354682271781699</v>
      </c>
      <c r="K114" s="133">
        <f t="shared" si="96"/>
        <v>2.6765224254354325</v>
      </c>
      <c r="L114" s="133">
        <f t="shared" si="96"/>
        <v>1.815961998958186</v>
      </c>
      <c r="M114" s="134">
        <f t="shared" si="96"/>
        <v>0.8316467632710347</v>
      </c>
      <c r="N114" s="132">
        <f aca="true" t="shared" si="99" ref="N114:Z114">N58</f>
        <v>0.06982380436712887</v>
      </c>
      <c r="O114" s="132">
        <f t="shared" si="99"/>
        <v>0.42118454308718467</v>
      </c>
      <c r="P114" s="132">
        <f t="shared" si="99"/>
        <v>0.7822761186568203</v>
      </c>
      <c r="Q114" s="132">
        <f t="shared" si="99"/>
        <v>1.1616898136297582</v>
      </c>
      <c r="R114" s="132">
        <f t="shared" si="99"/>
        <v>1.5686822039052883</v>
      </c>
      <c r="S114" s="132">
        <f t="shared" si="99"/>
        <v>2.0127712951910373</v>
      </c>
      <c r="T114" s="132">
        <f t="shared" si="99"/>
        <v>2.5014432218117353</v>
      </c>
      <c r="U114" s="132">
        <f t="shared" si="99"/>
        <v>3.032115916897169</v>
      </c>
      <c r="V114" s="132">
        <f t="shared" si="99"/>
        <v>3.5669846060872867</v>
      </c>
      <c r="W114" s="132">
        <f t="shared" si="99"/>
        <v>3.960484019852983</v>
      </c>
      <c r="X114" s="132">
        <f t="shared" si="99"/>
        <v>3.7938614236356814</v>
      </c>
      <c r="Y114" s="132">
        <f t="shared" si="99"/>
        <v>2.2943886981940045</v>
      </c>
      <c r="Z114" s="132">
        <f t="shared" si="99"/>
        <v>0.20934382497176726</v>
      </c>
    </row>
    <row r="115" spans="1:26" s="11" customFormat="1" ht="15.75">
      <c r="A115" s="1" t="s">
        <v>51</v>
      </c>
      <c r="B115" s="133">
        <f>B117*COS(RADIANS(B16))</f>
        <v>0</v>
      </c>
      <c r="C115" s="133">
        <f aca="true" t="shared" si="100" ref="C115:Z115">C117*COS(RADIANS(C16))</f>
        <v>0</v>
      </c>
      <c r="D115" s="133">
        <f t="shared" si="100"/>
        <v>0.41933528397271197</v>
      </c>
      <c r="E115" s="133">
        <f t="shared" si="100"/>
        <v>0.473146789255815</v>
      </c>
      <c r="F115" s="133">
        <f t="shared" si="100"/>
        <v>0.3931673058512401</v>
      </c>
      <c r="G115" s="133">
        <f t="shared" si="100"/>
        <v>0.2008272717483016</v>
      </c>
      <c r="H115" s="133">
        <f t="shared" si="100"/>
        <v>-0.05233595624294384</v>
      </c>
      <c r="I115" s="133">
        <f t="shared" si="100"/>
        <v>0</v>
      </c>
      <c r="J115" s="133">
        <f t="shared" si="100"/>
        <v>0</v>
      </c>
      <c r="K115" s="133">
        <f t="shared" si="100"/>
        <v>0</v>
      </c>
      <c r="L115" s="133">
        <f t="shared" si="100"/>
        <v>0</v>
      </c>
      <c r="M115" s="133">
        <f t="shared" si="100"/>
        <v>0</v>
      </c>
      <c r="N115" s="133">
        <f t="shared" si="100"/>
        <v>0</v>
      </c>
      <c r="O115" s="133">
        <f t="shared" si="100"/>
        <v>0</v>
      </c>
      <c r="P115" s="133">
        <f t="shared" si="100"/>
        <v>0</v>
      </c>
      <c r="Q115" s="133">
        <f t="shared" si="100"/>
        <v>0</v>
      </c>
      <c r="R115" s="133">
        <f t="shared" si="100"/>
        <v>0</v>
      </c>
      <c r="S115" s="133">
        <f t="shared" si="100"/>
        <v>0</v>
      </c>
      <c r="T115" s="133">
        <f t="shared" si="100"/>
        <v>0</v>
      </c>
      <c r="U115" s="133">
        <f t="shared" si="100"/>
        <v>0</v>
      </c>
      <c r="V115" s="133">
        <f t="shared" si="100"/>
        <v>0</v>
      </c>
      <c r="W115" s="133">
        <f t="shared" si="100"/>
        <v>0</v>
      </c>
      <c r="X115" s="133">
        <f t="shared" si="100"/>
        <v>0</v>
      </c>
      <c r="Y115" s="133">
        <f t="shared" si="100"/>
        <v>0</v>
      </c>
      <c r="Z115" s="133">
        <f t="shared" si="100"/>
        <v>0</v>
      </c>
    </row>
    <row r="116" spans="1:26" s="11" customFormat="1" ht="17.25" customHeight="1">
      <c r="A116" s="1" t="s">
        <v>52</v>
      </c>
      <c r="B116" s="129">
        <f>B117*SIN(RADIANS(B17))</f>
        <v>0</v>
      </c>
      <c r="C116" s="129">
        <f aca="true" t="shared" si="101" ref="C116:Z116">C117*SIN(RADIANS(C17))</f>
        <v>0</v>
      </c>
      <c r="D116" s="129">
        <f t="shared" si="101"/>
        <v>0.004569197698588021</v>
      </c>
      <c r="E116" s="129">
        <f t="shared" si="101"/>
        <v>0.009692563393117304</v>
      </c>
      <c r="F116" s="129">
        <f t="shared" si="101"/>
        <v>0.01582750420658862</v>
      </c>
      <c r="G116" s="129">
        <f t="shared" si="101"/>
        <v>0.022065917786670962</v>
      </c>
      <c r="H116" s="129">
        <f t="shared" si="101"/>
        <v>0.027412133592044294</v>
      </c>
      <c r="I116" s="129">
        <f t="shared" si="101"/>
        <v>0</v>
      </c>
      <c r="J116" s="129">
        <f t="shared" si="101"/>
        <v>0</v>
      </c>
      <c r="K116" s="129">
        <f t="shared" si="101"/>
        <v>0</v>
      </c>
      <c r="L116" s="129">
        <f t="shared" si="101"/>
        <v>0</v>
      </c>
      <c r="M116" s="129">
        <f t="shared" si="101"/>
        <v>0</v>
      </c>
      <c r="N116" s="129">
        <f t="shared" si="101"/>
        <v>0</v>
      </c>
      <c r="O116" s="129">
        <f t="shared" si="101"/>
        <v>0</v>
      </c>
      <c r="P116" s="129">
        <f t="shared" si="101"/>
        <v>0</v>
      </c>
      <c r="Q116" s="129">
        <f t="shared" si="101"/>
        <v>0</v>
      </c>
      <c r="R116" s="129">
        <f t="shared" si="101"/>
        <v>0</v>
      </c>
      <c r="S116" s="129">
        <f t="shared" si="101"/>
        <v>0</v>
      </c>
      <c r="T116" s="129">
        <f t="shared" si="101"/>
        <v>0</v>
      </c>
      <c r="U116" s="129">
        <f t="shared" si="101"/>
        <v>0</v>
      </c>
      <c r="V116" s="129">
        <f t="shared" si="101"/>
        <v>0</v>
      </c>
      <c r="W116" s="129">
        <f t="shared" si="101"/>
        <v>0</v>
      </c>
      <c r="X116" s="129">
        <f t="shared" si="101"/>
        <v>0</v>
      </c>
      <c r="Y116" s="129">
        <f t="shared" si="101"/>
        <v>0</v>
      </c>
      <c r="Z116" s="129">
        <f t="shared" si="101"/>
        <v>0</v>
      </c>
    </row>
    <row r="117" spans="1:26" s="11" customFormat="1" ht="16.5" thickBot="1">
      <c r="A117" s="2" t="s">
        <v>50</v>
      </c>
      <c r="B117" s="126">
        <f aca="true" t="shared" si="102" ref="B117:Z117">IF(OR(DEGREES(B17)&lt;30,DEGREES(B17)&gt;90),0,SIN(B17))</f>
        <v>0</v>
      </c>
      <c r="C117" s="126">
        <f t="shared" si="102"/>
        <v>0</v>
      </c>
      <c r="D117" s="126">
        <f t="shared" si="102"/>
        <v>0.49999999999999994</v>
      </c>
      <c r="E117" s="126">
        <f t="shared" si="102"/>
        <v>0.7071067811865475</v>
      </c>
      <c r="F117" s="126">
        <f t="shared" si="102"/>
        <v>0.8660254037844386</v>
      </c>
      <c r="G117" s="126">
        <f t="shared" si="102"/>
        <v>0.9659258262890683</v>
      </c>
      <c r="H117" s="126">
        <f t="shared" si="102"/>
        <v>1</v>
      </c>
      <c r="I117" s="126">
        <f t="shared" si="102"/>
        <v>0</v>
      </c>
      <c r="J117" s="126">
        <f t="shared" si="102"/>
        <v>0</v>
      </c>
      <c r="K117" s="126">
        <f t="shared" si="102"/>
        <v>0</v>
      </c>
      <c r="L117" s="126">
        <f t="shared" si="102"/>
        <v>0</v>
      </c>
      <c r="M117" s="127">
        <f t="shared" si="102"/>
        <v>0</v>
      </c>
      <c r="N117" s="128">
        <f t="shared" si="102"/>
        <v>0</v>
      </c>
      <c r="O117" s="128">
        <f t="shared" si="102"/>
        <v>0</v>
      </c>
      <c r="P117" s="128">
        <f t="shared" si="102"/>
        <v>0</v>
      </c>
      <c r="Q117" s="128">
        <f t="shared" si="102"/>
        <v>0</v>
      </c>
      <c r="R117" s="128">
        <f t="shared" si="102"/>
        <v>0</v>
      </c>
      <c r="S117" s="128">
        <f t="shared" si="102"/>
        <v>0</v>
      </c>
      <c r="T117" s="128">
        <f t="shared" si="102"/>
        <v>0</v>
      </c>
      <c r="U117" s="128">
        <f t="shared" si="102"/>
        <v>0</v>
      </c>
      <c r="V117" s="128">
        <f t="shared" si="102"/>
        <v>0</v>
      </c>
      <c r="W117" s="128">
        <f t="shared" si="102"/>
        <v>0</v>
      </c>
      <c r="X117" s="128">
        <f t="shared" si="102"/>
        <v>0</v>
      </c>
      <c r="Y117" s="128">
        <f t="shared" si="102"/>
        <v>0</v>
      </c>
      <c r="Z117" s="128">
        <f t="shared" si="102"/>
        <v>0</v>
      </c>
    </row>
    <row r="118" spans="1:13" s="11" customFormat="1" ht="17.25" customHeight="1" thickBot="1">
      <c r="A118" s="65"/>
      <c r="B118" s="12"/>
      <c r="C118" s="12"/>
      <c r="D118" s="12"/>
      <c r="E118" s="12"/>
      <c r="F118" s="13"/>
      <c r="G118" s="121" t="s">
        <v>15</v>
      </c>
      <c r="H118" s="12"/>
      <c r="I118" s="12"/>
      <c r="J118" s="12"/>
      <c r="K118" s="12"/>
      <c r="L118" s="12"/>
      <c r="M118" s="14"/>
    </row>
    <row r="119" spans="1:13" s="11" customFormat="1" ht="16.5" thickBot="1">
      <c r="A119" s="72"/>
      <c r="B119" s="68"/>
      <c r="C119" s="68"/>
      <c r="D119" s="68"/>
      <c r="E119" s="68"/>
      <c r="F119" s="68"/>
      <c r="G119" s="69" t="s">
        <v>12</v>
      </c>
      <c r="H119" s="68"/>
      <c r="I119" s="68"/>
      <c r="J119" s="68"/>
      <c r="K119" s="68"/>
      <c r="L119" s="68"/>
      <c r="M119" s="70"/>
    </row>
    <row r="120" spans="1:26" s="11" customFormat="1" ht="15.75">
      <c r="A120" s="10" t="s">
        <v>45</v>
      </c>
      <c r="B120" s="3">
        <f>B115+B96</f>
        <v>9.999999999994184</v>
      </c>
      <c r="C120" s="3">
        <f aca="true" t="shared" si="103" ref="C120:Z120">C115+C96</f>
        <v>10.280423971136747</v>
      </c>
      <c r="D120" s="3">
        <f t="shared" si="103"/>
        <v>10.27958932181711</v>
      </c>
      <c r="E120" s="3">
        <f t="shared" si="103"/>
        <v>9.241270875969024</v>
      </c>
      <c r="F120" s="3">
        <f t="shared" si="103"/>
        <v>7.471628274933914</v>
      </c>
      <c r="G120" s="3">
        <f t="shared" si="103"/>
        <v>5.107239705867298</v>
      </c>
      <c r="H120" s="3">
        <f t="shared" si="103"/>
        <v>2.3476640437570846</v>
      </c>
      <c r="I120" s="3">
        <f t="shared" si="103"/>
        <v>-0.2699684679314167</v>
      </c>
      <c r="J120" s="3">
        <f t="shared" si="103"/>
        <v>-2.921539030917315</v>
      </c>
      <c r="K120" s="3">
        <f t="shared" si="103"/>
        <v>-5.374011537017736</v>
      </c>
      <c r="L120" s="3">
        <f t="shared" si="103"/>
        <v>-7.460254037844365</v>
      </c>
      <c r="M120" s="3">
        <f t="shared" si="103"/>
        <v>-9.038092554644553</v>
      </c>
      <c r="N120" s="3">
        <f t="shared" si="103"/>
        <v>-1.1151314171823774</v>
      </c>
      <c r="O120" s="3">
        <f t="shared" si="103"/>
        <v>-1.291422372873639</v>
      </c>
      <c r="P120" s="3">
        <f t="shared" si="103"/>
        <v>-1.6219403214380672</v>
      </c>
      <c r="Q120" s="3">
        <f t="shared" si="103"/>
        <v>-2.1677778976189823</v>
      </c>
      <c r="R120" s="3">
        <f t="shared" si="103"/>
        <v>-3.0436106436721198</v>
      </c>
      <c r="S120" s="3">
        <f t="shared" si="103"/>
        <v>-4.4497753097629795</v>
      </c>
      <c r="T120" s="3">
        <f t="shared" si="103"/>
        <v>-6.710978650132757</v>
      </c>
      <c r="U120" s="3">
        <f t="shared" si="103"/>
        <v>-10.235107248058235</v>
      </c>
      <c r="V120" s="3">
        <f t="shared" si="103"/>
        <v>-14.888388111023856</v>
      </c>
      <c r="W120" s="3">
        <f t="shared" si="103"/>
        <v>-16.56882774473525</v>
      </c>
      <c r="X120" s="3">
        <f t="shared" si="103"/>
        <v>3.4615436751436057</v>
      </c>
      <c r="Y120" s="3">
        <f t="shared" si="103"/>
        <v>67.33933587550264</v>
      </c>
      <c r="Z120" s="3">
        <f t="shared" si="103"/>
        <v>9.999999999994282</v>
      </c>
    </row>
    <row r="121" spans="1:26" s="11" customFormat="1" ht="15.75">
      <c r="A121" s="1" t="s">
        <v>46</v>
      </c>
      <c r="B121" s="4">
        <f aca="true" t="shared" si="104" ref="B121:Z121">B116+B97</f>
        <v>-2.4000000000196486</v>
      </c>
      <c r="C121" s="4">
        <f t="shared" si="104"/>
        <v>0.2699684679314578</v>
      </c>
      <c r="D121" s="4">
        <f t="shared" si="104"/>
        <v>2.926108228615908</v>
      </c>
      <c r="E121" s="4">
        <f t="shared" si="104"/>
        <v>5.383704100410855</v>
      </c>
      <c r="F121" s="4">
        <f t="shared" si="104"/>
        <v>7.476081542050956</v>
      </c>
      <c r="G121" s="4">
        <f t="shared" si="104"/>
        <v>9.06015847243129</v>
      </c>
      <c r="H121" s="4">
        <f t="shared" si="104"/>
        <v>10.027412133592037</v>
      </c>
      <c r="I121" s="4">
        <f t="shared" si="104"/>
        <v>10.280423971136733</v>
      </c>
      <c r="J121" s="4">
        <f t="shared" si="104"/>
        <v>9.860254037844392</v>
      </c>
      <c r="K121" s="4">
        <f t="shared" si="104"/>
        <v>8.768124086713204</v>
      </c>
      <c r="L121" s="4">
        <f t="shared" si="104"/>
        <v>7.078460969082675</v>
      </c>
      <c r="M121" s="8">
        <f t="shared" si="104"/>
        <v>4.906412434119204</v>
      </c>
      <c r="N121" s="7">
        <f t="shared" si="104"/>
        <v>0.2678065348255247</v>
      </c>
      <c r="O121" s="7">
        <f t="shared" si="104"/>
        <v>0.003317625522966494</v>
      </c>
      <c r="P121" s="7">
        <f t="shared" si="104"/>
        <v>-0.2340980733858019</v>
      </c>
      <c r="Q121" s="7">
        <f t="shared" si="104"/>
        <v>-0.435446036207336</v>
      </c>
      <c r="R121" s="7">
        <f t="shared" si="104"/>
        <v>-0.554535029729009</v>
      </c>
      <c r="S121" s="7">
        <f t="shared" si="104"/>
        <v>-0.4530448964982601</v>
      </c>
      <c r="T121" s="7">
        <f t="shared" si="104"/>
        <v>0.24749126492937812</v>
      </c>
      <c r="U121" s="7">
        <f t="shared" si="104"/>
        <v>2.5605663259646994</v>
      </c>
      <c r="V121" s="7">
        <f t="shared" si="104"/>
        <v>9.085991121049965</v>
      </c>
      <c r="W121" s="7">
        <f t="shared" si="104"/>
        <v>25.220653034459726</v>
      </c>
      <c r="X121" s="7">
        <f t="shared" si="104"/>
        <v>52.35449234319679</v>
      </c>
      <c r="Y121" s="7">
        <f t="shared" si="104"/>
        <v>45.42081911598834</v>
      </c>
      <c r="Z121" s="7">
        <f t="shared" si="104"/>
        <v>-2.4000000000193125</v>
      </c>
    </row>
    <row r="122" spans="1:26" s="11" customFormat="1" ht="15.75">
      <c r="A122" s="1" t="s">
        <v>17</v>
      </c>
      <c r="B122" s="4">
        <f aca="true" t="shared" si="105" ref="B122:Z122">-B136*B60/((B57-B24)*B59+(B58-B25)*B60)</f>
        <v>285.21147728776447</v>
      </c>
      <c r="C122" s="4">
        <f t="shared" si="105"/>
        <v>48.47762192376977</v>
      </c>
      <c r="D122" s="4">
        <f t="shared" si="105"/>
        <v>23.847134209197907</v>
      </c>
      <c r="E122" s="4">
        <f t="shared" si="105"/>
        <v>12.756178387574552</v>
      </c>
      <c r="F122" s="4">
        <f t="shared" si="105"/>
        <v>6.05521851841872</v>
      </c>
      <c r="G122" s="4">
        <f t="shared" si="105"/>
        <v>1.8688407173486672</v>
      </c>
      <c r="H122" s="4">
        <f t="shared" si="105"/>
        <v>-0.26737455884613587</v>
      </c>
      <c r="I122" s="4">
        <f t="shared" si="105"/>
        <v>-0.33559216686273063</v>
      </c>
      <c r="J122" s="4">
        <f t="shared" si="105"/>
        <v>1.9995858402207318</v>
      </c>
      <c r="K122" s="4">
        <f t="shared" si="105"/>
        <v>7.75340342250232</v>
      </c>
      <c r="L122" s="4">
        <f t="shared" si="105"/>
        <v>20.425952174732938</v>
      </c>
      <c r="M122" s="8">
        <f t="shared" si="105"/>
        <v>61.74654033243961</v>
      </c>
      <c r="N122" s="7">
        <f t="shared" si="105"/>
        <v>334.73787622984105</v>
      </c>
      <c r="O122" s="7">
        <f t="shared" si="105"/>
        <v>60.36786294930596</v>
      </c>
      <c r="P122" s="7">
        <f t="shared" si="105"/>
        <v>35.881892024835814</v>
      </c>
      <c r="Q122" s="7">
        <f t="shared" si="105"/>
        <v>27.21830920515087</v>
      </c>
      <c r="R122" s="7">
        <f t="shared" si="105"/>
        <v>23.273701286450375</v>
      </c>
      <c r="S122" s="7">
        <f t="shared" si="105"/>
        <v>21.54450997423565</v>
      </c>
      <c r="T122" s="7">
        <f t="shared" si="105"/>
        <v>21.17858500230749</v>
      </c>
      <c r="U122" s="7">
        <f t="shared" si="105"/>
        <v>21.601230922899866</v>
      </c>
      <c r="V122" s="7">
        <f t="shared" si="105"/>
        <v>21.02448801418092</v>
      </c>
      <c r="W122" s="7">
        <f t="shared" si="105"/>
        <v>10.69730404622208</v>
      </c>
      <c r="X122" s="7">
        <f t="shared" si="105"/>
        <v>-44.979925411139405</v>
      </c>
      <c r="Y122" s="7">
        <f t="shared" si="105"/>
        <v>-215.2077370214278</v>
      </c>
      <c r="Z122" s="7">
        <f t="shared" si="105"/>
        <v>285.2114772877577</v>
      </c>
    </row>
    <row r="123" spans="1:26" s="11" customFormat="1" ht="15.75">
      <c r="A123" s="1" t="s">
        <v>47</v>
      </c>
      <c r="B123" s="4">
        <f aca="true" t="shared" si="106" ref="B123:Z123">-B122*B59/B60</f>
        <v>14.947300150688063</v>
      </c>
      <c r="C123" s="4">
        <f t="shared" si="106"/>
        <v>15.751334189564941</v>
      </c>
      <c r="D123" s="4">
        <f t="shared" si="106"/>
        <v>15.486510031453225</v>
      </c>
      <c r="E123" s="4">
        <f t="shared" si="106"/>
        <v>14.167171358633963</v>
      </c>
      <c r="F123" s="4">
        <f t="shared" si="106"/>
        <v>11.88403547737791</v>
      </c>
      <c r="G123" s="4">
        <f t="shared" si="106"/>
        <v>8.792204308657853</v>
      </c>
      <c r="H123" s="4">
        <f t="shared" si="106"/>
        <v>5.101810504164176</v>
      </c>
      <c r="I123" s="4">
        <f t="shared" si="106"/>
        <v>1.0328464871583964</v>
      </c>
      <c r="J123" s="4">
        <f t="shared" si="106"/>
        <v>-3.0790921774956543</v>
      </c>
      <c r="K123" s="4">
        <f t="shared" si="106"/>
        <v>-6.981195798693804</v>
      </c>
      <c r="L123" s="4">
        <f t="shared" si="106"/>
        <v>-10.407542463182503</v>
      </c>
      <c r="M123" s="8">
        <f t="shared" si="106"/>
        <v>-13.124632308082699</v>
      </c>
      <c r="N123" s="7">
        <f t="shared" si="106"/>
        <v>-5.8440584360639996</v>
      </c>
      <c r="O123" s="7">
        <f t="shared" si="106"/>
        <v>-6.39203659910498</v>
      </c>
      <c r="P123" s="7">
        <f t="shared" si="106"/>
        <v>-7.155561134446711</v>
      </c>
      <c r="Q123" s="7">
        <f t="shared" si="106"/>
        <v>-8.260863488856083</v>
      </c>
      <c r="R123" s="7">
        <f t="shared" si="106"/>
        <v>-9.92209415902859</v>
      </c>
      <c r="S123" s="7">
        <f t="shared" si="106"/>
        <v>-12.544974484730604</v>
      </c>
      <c r="T123" s="7">
        <f t="shared" si="106"/>
        <v>-16.972511114486743</v>
      </c>
      <c r="U123" s="7">
        <f t="shared" si="106"/>
        <v>-25.105542791323078</v>
      </c>
      <c r="V123" s="7">
        <f t="shared" si="106"/>
        <v>-41.42986999908725</v>
      </c>
      <c r="W123" s="7">
        <f t="shared" si="106"/>
        <v>-75.53817505220377</v>
      </c>
      <c r="X123" s="7">
        <f t="shared" si="106"/>
        <v>-134.63073552870063</v>
      </c>
      <c r="Y123" s="7">
        <f t="shared" si="106"/>
        <v>-150.69819957232176</v>
      </c>
      <c r="Z123" s="7">
        <f t="shared" si="106"/>
        <v>14.94730015068769</v>
      </c>
    </row>
    <row r="124" spans="1:26" s="11" customFormat="1" ht="15.75">
      <c r="A124" s="1" t="s">
        <v>101</v>
      </c>
      <c r="B124" s="4">
        <f>B128/$B$6*COS(RADIANS(B16))</f>
        <v>2.916068590827229</v>
      </c>
      <c r="C124" s="4">
        <f aca="true" t="shared" si="107" ref="C124:Z124">C128/$B$6*COS(RADIANS(C16))</f>
        <v>2.7771520255573554</v>
      </c>
      <c r="D124" s="4">
        <f t="shared" si="107"/>
        <v>2.4489771392536523</v>
      </c>
      <c r="E124" s="4">
        <f t="shared" si="107"/>
        <v>1.953908508035798</v>
      </c>
      <c r="F124" s="4">
        <f t="shared" si="107"/>
        <v>1.325684240981784</v>
      </c>
      <c r="G124" s="4">
        <f t="shared" si="107"/>
        <v>0.6071167837016557</v>
      </c>
      <c r="H124" s="4">
        <f t="shared" si="107"/>
        <v>-0.15282467907981873</v>
      </c>
      <c r="I124" s="4">
        <f t="shared" si="107"/>
        <v>-0.9023513925367257</v>
      </c>
      <c r="J124" s="4">
        <f t="shared" si="107"/>
        <v>-1.5903843497984376</v>
      </c>
      <c r="K124" s="4">
        <f t="shared" si="107"/>
        <v>-2.1700352418557904</v>
      </c>
      <c r="L124" s="4">
        <f t="shared" si="107"/>
        <v>-2.6018018183334735</v>
      </c>
      <c r="M124" s="4">
        <f t="shared" si="107"/>
        <v>-2.856259900573024</v>
      </c>
      <c r="N124" s="4">
        <f t="shared" si="107"/>
        <v>-0.13966027223392657</v>
      </c>
      <c r="O124" s="4">
        <f t="shared" si="107"/>
        <v>0.7617887749536056</v>
      </c>
      <c r="P124" s="4">
        <f t="shared" si="107"/>
        <v>1.5555959680915576</v>
      </c>
      <c r="Q124" s="4">
        <f t="shared" si="107"/>
        <v>2.1146749986255267</v>
      </c>
      <c r="R124" s="4">
        <f t="shared" si="107"/>
        <v>2.233133471455333</v>
      </c>
      <c r="S124" s="4">
        <f t="shared" si="107"/>
        <v>1.5494199792870325</v>
      </c>
      <c r="T124" s="4">
        <f t="shared" si="107"/>
        <v>-0.5912967813540806</v>
      </c>
      <c r="U124" s="4">
        <f t="shared" si="107"/>
        <v>-5.359060874948299</v>
      </c>
      <c r="V124" s="4">
        <f t="shared" si="107"/>
        <v>-14.610688165917475</v>
      </c>
      <c r="W124" s="4">
        <f t="shared" si="107"/>
        <v>-29.843689154538474</v>
      </c>
      <c r="X124" s="4">
        <f t="shared" si="107"/>
        <v>-44.74269464228163</v>
      </c>
      <c r="Y124" s="4">
        <f t="shared" si="107"/>
        <v>-27.443260494482324</v>
      </c>
      <c r="Z124" s="4">
        <f t="shared" si="107"/>
        <v>2.9160685908264212</v>
      </c>
    </row>
    <row r="125" spans="1:26" s="11" customFormat="1" ht="15.75">
      <c r="A125" s="1" t="s">
        <v>102</v>
      </c>
      <c r="B125" s="4">
        <f>B128/$B$6*SIN(RADIANS(B16))</f>
        <v>0.15282467908228242</v>
      </c>
      <c r="C125" s="4">
        <f aca="true" t="shared" si="108" ref="C125:Z125">C128/$B$6*SIN(RADIANS(C16))</f>
        <v>0.9023513925366965</v>
      </c>
      <c r="D125" s="4">
        <f t="shared" si="108"/>
        <v>1.5903843497984391</v>
      </c>
      <c r="E125" s="4">
        <f t="shared" si="108"/>
        <v>2.170035241855794</v>
      </c>
      <c r="F125" s="4">
        <f t="shared" si="108"/>
        <v>2.6018018183334704</v>
      </c>
      <c r="G125" s="4">
        <f t="shared" si="108"/>
        <v>2.8562599005725255</v>
      </c>
      <c r="H125" s="4">
        <f t="shared" si="108"/>
        <v>2.9160685907802186</v>
      </c>
      <c r="I125" s="4">
        <f t="shared" si="108"/>
        <v>2.7771520255574464</v>
      </c>
      <c r="J125" s="4">
        <f t="shared" si="108"/>
        <v>2.44897713925365</v>
      </c>
      <c r="K125" s="4">
        <f t="shared" si="108"/>
        <v>1.953908508035796</v>
      </c>
      <c r="L125" s="4">
        <f t="shared" si="108"/>
        <v>1.3256842409817857</v>
      </c>
      <c r="M125" s="4">
        <f t="shared" si="108"/>
        <v>0.6071167837017611</v>
      </c>
      <c r="N125" s="4">
        <f t="shared" si="108"/>
        <v>-0.007319284721845034</v>
      </c>
      <c r="O125" s="4">
        <f t="shared" si="108"/>
        <v>0.24752017735156323</v>
      </c>
      <c r="P125" s="4">
        <f t="shared" si="108"/>
        <v>1.0102158336260898</v>
      </c>
      <c r="Q125" s="4">
        <f t="shared" si="108"/>
        <v>2.348584518269917</v>
      </c>
      <c r="R125" s="4">
        <f t="shared" si="108"/>
        <v>4.382771211273421</v>
      </c>
      <c r="S125" s="4">
        <f t="shared" si="108"/>
        <v>7.28944788678124</v>
      </c>
      <c r="T125" s="4">
        <f t="shared" si="108"/>
        <v>11.282614708030929</v>
      </c>
      <c r="U125" s="4">
        <f t="shared" si="108"/>
        <v>16.4934934295484</v>
      </c>
      <c r="V125" s="4">
        <f t="shared" si="108"/>
        <v>22.49848680391669</v>
      </c>
      <c r="W125" s="4">
        <f t="shared" si="108"/>
        <v>26.871378411514023</v>
      </c>
      <c r="X125" s="4">
        <f t="shared" si="108"/>
        <v>22.79754159920053</v>
      </c>
      <c r="Y125" s="4">
        <f t="shared" si="108"/>
        <v>5.833245091721929</v>
      </c>
      <c r="Z125" s="4">
        <f t="shared" si="108"/>
        <v>0.1528246790822402</v>
      </c>
    </row>
    <row r="126" spans="1:26" s="11" customFormat="1" ht="15.75">
      <c r="A126" s="1" t="s">
        <v>53</v>
      </c>
      <c r="B126" s="4">
        <f>B120+B122+B124</f>
        <v>298.1275458785859</v>
      </c>
      <c r="C126" s="4">
        <f aca="true" t="shared" si="109" ref="C126:Z126">C120+C122+C124</f>
        <v>61.53519792046387</v>
      </c>
      <c r="D126" s="4">
        <f t="shared" si="109"/>
        <v>36.57570067026867</v>
      </c>
      <c r="E126" s="4">
        <f t="shared" si="109"/>
        <v>23.951357771579374</v>
      </c>
      <c r="F126" s="4">
        <f t="shared" si="109"/>
        <v>14.852531034334419</v>
      </c>
      <c r="G126" s="4">
        <f t="shared" si="109"/>
        <v>7.583197206917621</v>
      </c>
      <c r="H126" s="4">
        <f t="shared" si="109"/>
        <v>1.9274648058311301</v>
      </c>
      <c r="I126" s="4">
        <f t="shared" si="109"/>
        <v>-1.507912027330873</v>
      </c>
      <c r="J126" s="4">
        <f t="shared" si="109"/>
        <v>-2.512337540495021</v>
      </c>
      <c r="K126" s="4">
        <f t="shared" si="109"/>
        <v>0.20935664362879303</v>
      </c>
      <c r="L126" s="4">
        <f t="shared" si="109"/>
        <v>10.3638963185551</v>
      </c>
      <c r="M126" s="4">
        <f t="shared" si="109"/>
        <v>49.852187877222036</v>
      </c>
      <c r="N126" s="4">
        <f t="shared" si="109"/>
        <v>333.4830845404247</v>
      </c>
      <c r="O126" s="4">
        <f t="shared" si="109"/>
        <v>59.83822935138593</v>
      </c>
      <c r="P126" s="4">
        <f t="shared" si="109"/>
        <v>35.815547671489306</v>
      </c>
      <c r="Q126" s="4">
        <f t="shared" si="109"/>
        <v>27.165206306157415</v>
      </c>
      <c r="R126" s="4">
        <f t="shared" si="109"/>
        <v>22.463224114233586</v>
      </c>
      <c r="S126" s="4">
        <f t="shared" si="109"/>
        <v>18.644154643759702</v>
      </c>
      <c r="T126" s="4">
        <f t="shared" si="109"/>
        <v>13.876309570820652</v>
      </c>
      <c r="U126" s="4">
        <f t="shared" si="109"/>
        <v>6.007062799893332</v>
      </c>
      <c r="V126" s="4">
        <f t="shared" si="109"/>
        <v>-8.47458826276041</v>
      </c>
      <c r="W126" s="4">
        <f t="shared" si="109"/>
        <v>-35.71521285305164</v>
      </c>
      <c r="X126" s="4">
        <f t="shared" si="109"/>
        <v>-86.26107637827744</v>
      </c>
      <c r="Y126" s="4">
        <f t="shared" si="109"/>
        <v>-175.31166164040746</v>
      </c>
      <c r="Z126" s="4">
        <f t="shared" si="109"/>
        <v>298.12754587857836</v>
      </c>
    </row>
    <row r="127" spans="1:26" s="11" customFormat="1" ht="15.75">
      <c r="A127" s="1" t="s">
        <v>54</v>
      </c>
      <c r="B127" s="4">
        <f>B121+B123+B125</f>
        <v>12.700124829750697</v>
      </c>
      <c r="C127" s="4">
        <f aca="true" t="shared" si="110" ref="C127:Z127">C121+C123+C125</f>
        <v>16.923654050033097</v>
      </c>
      <c r="D127" s="4">
        <f t="shared" si="110"/>
        <v>20.003002609867572</v>
      </c>
      <c r="E127" s="4">
        <f t="shared" si="110"/>
        <v>21.72091070090061</v>
      </c>
      <c r="F127" s="4">
        <f t="shared" si="110"/>
        <v>21.961918837762337</v>
      </c>
      <c r="G127" s="4">
        <f t="shared" si="110"/>
        <v>20.708622681661666</v>
      </c>
      <c r="H127" s="4">
        <f t="shared" si="110"/>
        <v>18.04529122853643</v>
      </c>
      <c r="I127" s="4">
        <f t="shared" si="110"/>
        <v>14.090422483852576</v>
      </c>
      <c r="J127" s="4">
        <f t="shared" si="110"/>
        <v>9.230138999602387</v>
      </c>
      <c r="K127" s="4">
        <f t="shared" si="110"/>
        <v>3.740836796055196</v>
      </c>
      <c r="L127" s="4">
        <f t="shared" si="110"/>
        <v>-2.0033972531180426</v>
      </c>
      <c r="M127" s="4">
        <f t="shared" si="110"/>
        <v>-7.611103090261734</v>
      </c>
      <c r="N127" s="4">
        <f t="shared" si="110"/>
        <v>-5.58357118596032</v>
      </c>
      <c r="O127" s="4">
        <f t="shared" si="110"/>
        <v>-6.14119879623045</v>
      </c>
      <c r="P127" s="4">
        <f t="shared" si="110"/>
        <v>-6.379443374206423</v>
      </c>
      <c r="Q127" s="4">
        <f t="shared" si="110"/>
        <v>-6.347725006793503</v>
      </c>
      <c r="R127" s="4">
        <f t="shared" si="110"/>
        <v>-6.093857977484178</v>
      </c>
      <c r="S127" s="4">
        <f t="shared" si="110"/>
        <v>-5.708571494447625</v>
      </c>
      <c r="T127" s="4">
        <f t="shared" si="110"/>
        <v>-5.442405141526434</v>
      </c>
      <c r="U127" s="4">
        <f t="shared" si="110"/>
        <v>-6.0514830358099765</v>
      </c>
      <c r="V127" s="4">
        <f t="shared" si="110"/>
        <v>-9.845392074120596</v>
      </c>
      <c r="W127" s="4">
        <f t="shared" si="110"/>
        <v>-23.446143606230017</v>
      </c>
      <c r="X127" s="4">
        <f t="shared" si="110"/>
        <v>-59.4787015863033</v>
      </c>
      <c r="Y127" s="4">
        <f t="shared" si="110"/>
        <v>-99.44413536461148</v>
      </c>
      <c r="Z127" s="4">
        <f t="shared" si="110"/>
        <v>12.700124829750617</v>
      </c>
    </row>
    <row r="128" spans="1:26" s="11" customFormat="1" ht="16.5" thickBot="1">
      <c r="A128" s="2" t="s">
        <v>61</v>
      </c>
      <c r="B128" s="5">
        <f aca="true" t="shared" si="111" ref="B128:Z128">B98-B96*(B90-B58)+B97*(B89-B57)-B115*(B114-B58)+B116*(B113-B57)</f>
        <v>11.680281783550056</v>
      </c>
      <c r="C128" s="5">
        <f t="shared" si="111"/>
        <v>11.680281783361385</v>
      </c>
      <c r="D128" s="5">
        <f t="shared" si="111"/>
        <v>11.680281783361774</v>
      </c>
      <c r="E128" s="5">
        <f t="shared" si="111"/>
        <v>11.680281783361778</v>
      </c>
      <c r="F128" s="5">
        <f t="shared" si="111"/>
        <v>11.680281783361771</v>
      </c>
      <c r="G128" s="5">
        <f t="shared" si="111"/>
        <v>11.680281783361782</v>
      </c>
      <c r="H128" s="5">
        <f t="shared" si="111"/>
        <v>11.680281783361757</v>
      </c>
      <c r="I128" s="5">
        <f t="shared" si="111"/>
        <v>11.680281783361766</v>
      </c>
      <c r="J128" s="5">
        <f t="shared" si="111"/>
        <v>11.680281783361764</v>
      </c>
      <c r="K128" s="5">
        <f t="shared" si="111"/>
        <v>11.680281783361764</v>
      </c>
      <c r="L128" s="5">
        <f t="shared" si="111"/>
        <v>11.680281783361785</v>
      </c>
      <c r="M128" s="9">
        <f t="shared" si="111"/>
        <v>11.680281783363817</v>
      </c>
      <c r="N128" s="7">
        <f t="shared" si="111"/>
        <v>0.5594077377983815</v>
      </c>
      <c r="O128" s="7">
        <f t="shared" si="111"/>
        <v>-3.2039684788498515</v>
      </c>
      <c r="P128" s="7">
        <f t="shared" si="111"/>
        <v>-7.419342123343892</v>
      </c>
      <c r="Q128" s="7">
        <f t="shared" si="111"/>
        <v>-12.641328784123294</v>
      </c>
      <c r="R128" s="7">
        <f t="shared" si="111"/>
        <v>-19.675596495842758</v>
      </c>
      <c r="S128" s="7">
        <f t="shared" si="111"/>
        <v>-29.809193955238253</v>
      </c>
      <c r="T128" s="7">
        <f t="shared" si="111"/>
        <v>-45.19239343668632</v>
      </c>
      <c r="U128" s="7">
        <f t="shared" si="111"/>
        <v>-69.36914114756883</v>
      </c>
      <c r="V128" s="7">
        <f t="shared" si="111"/>
        <v>-107.30547923737684</v>
      </c>
      <c r="W128" s="7">
        <f t="shared" si="111"/>
        <v>-160.63457959418324</v>
      </c>
      <c r="X128" s="7">
        <f t="shared" si="111"/>
        <v>-200.86360055798008</v>
      </c>
      <c r="Y128" s="7">
        <f t="shared" si="111"/>
        <v>-112.22543703586007</v>
      </c>
      <c r="Z128" s="7">
        <f t="shared" si="111"/>
        <v>11.68028178354682</v>
      </c>
    </row>
    <row r="129" spans="1:13" s="11" customFormat="1" ht="16.5" thickBot="1">
      <c r="A129" s="73"/>
      <c r="B129" s="74"/>
      <c r="C129" s="74"/>
      <c r="D129" s="74"/>
      <c r="E129" s="74"/>
      <c r="F129" s="74"/>
      <c r="G129" s="75" t="s">
        <v>13</v>
      </c>
      <c r="H129" s="74"/>
      <c r="I129" s="74"/>
      <c r="J129" s="74"/>
      <c r="K129" s="74"/>
      <c r="L129" s="74"/>
      <c r="M129" s="71"/>
    </row>
    <row r="130" spans="1:26" s="11" customFormat="1" ht="15.75">
      <c r="A130" s="10" t="s">
        <v>45</v>
      </c>
      <c r="B130" s="3">
        <f>B126+B71</f>
        <v>282.1494733224778</v>
      </c>
      <c r="C130" s="3">
        <f aca="true" t="shared" si="112" ref="C130:Z130">C126+C71</f>
        <v>46.318293659741485</v>
      </c>
      <c r="D130" s="3">
        <f t="shared" si="112"/>
        <v>23.156971583141882</v>
      </c>
      <c r="E130" s="3">
        <f t="shared" si="112"/>
        <v>13.245268069837643</v>
      </c>
      <c r="F130" s="3">
        <f t="shared" si="112"/>
        <v>7.588683038501669</v>
      </c>
      <c r="G130" s="3">
        <f t="shared" si="112"/>
        <v>4.256610153833472</v>
      </c>
      <c r="H130" s="3">
        <f t="shared" si="112"/>
        <v>2.76484010571823</v>
      </c>
      <c r="I130" s="3">
        <f t="shared" si="112"/>
        <v>3.4363598826682873</v>
      </c>
      <c r="J130" s="3">
        <f t="shared" si="112"/>
        <v>6.201887019745409</v>
      </c>
      <c r="K130" s="3">
        <f t="shared" si="112"/>
        <v>12.099673851267099</v>
      </c>
      <c r="L130" s="3">
        <f t="shared" si="112"/>
        <v>24.620000705568984</v>
      </c>
      <c r="M130" s="3">
        <f t="shared" si="112"/>
        <v>65.5025494889633</v>
      </c>
      <c r="N130" s="3">
        <f t="shared" si="112"/>
        <v>346.7201863583392</v>
      </c>
      <c r="O130" s="3">
        <f t="shared" si="112"/>
        <v>76.53527101762786</v>
      </c>
      <c r="P130" s="3">
        <f t="shared" si="112"/>
        <v>54.85542709691141</v>
      </c>
      <c r="Q130" s="3">
        <f t="shared" si="112"/>
        <v>47.24926768226614</v>
      </c>
      <c r="R130" s="3">
        <f t="shared" si="112"/>
        <v>42.26154563285834</v>
      </c>
      <c r="S130" s="3">
        <f t="shared" si="112"/>
        <v>37.04515853253167</v>
      </c>
      <c r="T130" s="3">
        <f t="shared" si="112"/>
        <v>30.491177703809786</v>
      </c>
      <c r="U130" s="3">
        <f t="shared" si="112"/>
        <v>22.36318118968376</v>
      </c>
      <c r="V130" s="3">
        <f t="shared" si="112"/>
        <v>13.981366707285869</v>
      </c>
      <c r="W130" s="3">
        <f t="shared" si="112"/>
        <v>9.427886554338237</v>
      </c>
      <c r="X130" s="3">
        <f t="shared" si="112"/>
        <v>3.0426359535796337</v>
      </c>
      <c r="Y130" s="3">
        <f t="shared" si="112"/>
        <v>-96.3930561758936</v>
      </c>
      <c r="Z130" s="3">
        <f t="shared" si="112"/>
        <v>282.1494733224708</v>
      </c>
    </row>
    <row r="131" spans="1:26" s="11" customFormat="1" ht="15.75">
      <c r="A131" s="1" t="s">
        <v>46</v>
      </c>
      <c r="B131" s="4">
        <f>B127+B72</f>
        <v>11.862749529871577</v>
      </c>
      <c r="C131" s="4">
        <f aca="true" t="shared" si="113" ref="C131:Z131">C127+C72</f>
        <v>11.979382140033922</v>
      </c>
      <c r="D131" s="4">
        <f t="shared" si="113"/>
        <v>11.28877804962714</v>
      </c>
      <c r="E131" s="4">
        <f t="shared" si="113"/>
        <v>9.830593493262304</v>
      </c>
      <c r="F131" s="4">
        <f t="shared" si="113"/>
        <v>7.705814450748452</v>
      </c>
      <c r="G131" s="4">
        <f t="shared" si="113"/>
        <v>5.058261069920777</v>
      </c>
      <c r="H131" s="4">
        <f t="shared" si="113"/>
        <v>2.06721867246325</v>
      </c>
      <c r="I131" s="4">
        <f t="shared" si="113"/>
        <v>-1.1264817768698805</v>
      </c>
      <c r="J131" s="4">
        <f t="shared" si="113"/>
        <v>-4.188590087524398</v>
      </c>
      <c r="K131" s="4">
        <f t="shared" si="113"/>
        <v>-6.965252905686536</v>
      </c>
      <c r="L131" s="4">
        <f t="shared" si="113"/>
        <v>-9.26724524895079</v>
      </c>
      <c r="M131" s="4">
        <f t="shared" si="113"/>
        <v>-10.937690143345971</v>
      </c>
      <c r="N131" s="4">
        <f t="shared" si="113"/>
        <v>-20.532042688701523</v>
      </c>
      <c r="O131" s="4">
        <f t="shared" si="113"/>
        <v>-16.896892588618854</v>
      </c>
      <c r="P131" s="4">
        <f t="shared" si="113"/>
        <v>-11.782431024487078</v>
      </c>
      <c r="Q131" s="4">
        <f t="shared" si="113"/>
        <v>-5.457330474419335</v>
      </c>
      <c r="R131" s="4">
        <f t="shared" si="113"/>
        <v>1.8711032395504157</v>
      </c>
      <c r="S131" s="4">
        <f t="shared" si="113"/>
        <v>10.099564534455391</v>
      </c>
      <c r="T131" s="4">
        <f t="shared" si="113"/>
        <v>19.22188865963659</v>
      </c>
      <c r="U131" s="4">
        <f t="shared" si="113"/>
        <v>28.980153273131027</v>
      </c>
      <c r="V131" s="4">
        <f t="shared" si="113"/>
        <v>36.85177306379266</v>
      </c>
      <c r="W131" s="4">
        <f t="shared" si="113"/>
        <v>29.447439417532685</v>
      </c>
      <c r="X131" s="4">
        <f t="shared" si="113"/>
        <v>-38.59297425518491</v>
      </c>
      <c r="Y131" s="4">
        <f t="shared" si="113"/>
        <v>-192.5332265946661</v>
      </c>
      <c r="Z131" s="4">
        <f t="shared" si="113"/>
        <v>11.862749529871365</v>
      </c>
    </row>
    <row r="132" spans="1:26" s="11" customFormat="1" ht="15.75">
      <c r="A132" s="1" t="s">
        <v>48</v>
      </c>
      <c r="B132" s="4">
        <f>-B122</f>
        <v>-285.21147728776447</v>
      </c>
      <c r="C132" s="4">
        <f aca="true" t="shared" si="114" ref="C132:N132">-C122</f>
        <v>-48.47762192376977</v>
      </c>
      <c r="D132" s="4">
        <f t="shared" si="114"/>
        <v>-23.847134209197907</v>
      </c>
      <c r="E132" s="4">
        <f t="shared" si="114"/>
        <v>-12.756178387574552</v>
      </c>
      <c r="F132" s="4">
        <f t="shared" si="114"/>
        <v>-6.05521851841872</v>
      </c>
      <c r="G132" s="4">
        <f t="shared" si="114"/>
        <v>-1.8688407173486672</v>
      </c>
      <c r="H132" s="4">
        <f t="shared" si="114"/>
        <v>0.26737455884613587</v>
      </c>
      <c r="I132" s="4">
        <f t="shared" si="114"/>
        <v>0.33559216686273063</v>
      </c>
      <c r="J132" s="4">
        <f t="shared" si="114"/>
        <v>-1.9995858402207318</v>
      </c>
      <c r="K132" s="4">
        <f t="shared" si="114"/>
        <v>-7.75340342250232</v>
      </c>
      <c r="L132" s="4">
        <f t="shared" si="114"/>
        <v>-20.425952174732938</v>
      </c>
      <c r="M132" s="8">
        <f t="shared" si="114"/>
        <v>-61.74654033243961</v>
      </c>
      <c r="N132" s="7">
        <f t="shared" si="114"/>
        <v>-334.73787622984105</v>
      </c>
      <c r="O132" s="7">
        <f aca="true" t="shared" si="115" ref="O132:Z132">-O122</f>
        <v>-60.36786294930596</v>
      </c>
      <c r="P132" s="7">
        <f t="shared" si="115"/>
        <v>-35.881892024835814</v>
      </c>
      <c r="Q132" s="7">
        <f t="shared" si="115"/>
        <v>-27.21830920515087</v>
      </c>
      <c r="R132" s="7">
        <f t="shared" si="115"/>
        <v>-23.273701286450375</v>
      </c>
      <c r="S132" s="7">
        <f t="shared" si="115"/>
        <v>-21.54450997423565</v>
      </c>
      <c r="T132" s="7">
        <f t="shared" si="115"/>
        <v>-21.17858500230749</v>
      </c>
      <c r="U132" s="7">
        <f t="shared" si="115"/>
        <v>-21.601230922899866</v>
      </c>
      <c r="V132" s="7">
        <f t="shared" si="115"/>
        <v>-21.02448801418092</v>
      </c>
      <c r="W132" s="7">
        <f t="shared" si="115"/>
        <v>-10.69730404622208</v>
      </c>
      <c r="X132" s="7">
        <f t="shared" si="115"/>
        <v>44.979925411139405</v>
      </c>
      <c r="Y132" s="7">
        <f t="shared" si="115"/>
        <v>215.2077370214278</v>
      </c>
      <c r="Z132" s="7">
        <f t="shared" si="115"/>
        <v>-285.2114772877577</v>
      </c>
    </row>
    <row r="133" spans="1:26" s="11" customFormat="1" ht="15.75">
      <c r="A133" s="1" t="s">
        <v>49</v>
      </c>
      <c r="B133" s="4">
        <f>-B123</f>
        <v>-14.947300150688063</v>
      </c>
      <c r="C133" s="4">
        <f aca="true" t="shared" si="116" ref="C133:N133">-C123</f>
        <v>-15.751334189564941</v>
      </c>
      <c r="D133" s="4">
        <f t="shared" si="116"/>
        <v>-15.486510031453225</v>
      </c>
      <c r="E133" s="4">
        <f t="shared" si="116"/>
        <v>-14.167171358633963</v>
      </c>
      <c r="F133" s="4">
        <f t="shared" si="116"/>
        <v>-11.88403547737791</v>
      </c>
      <c r="G133" s="4">
        <f t="shared" si="116"/>
        <v>-8.792204308657853</v>
      </c>
      <c r="H133" s="4">
        <f t="shared" si="116"/>
        <v>-5.101810504164176</v>
      </c>
      <c r="I133" s="4">
        <f t="shared" si="116"/>
        <v>-1.0328464871583964</v>
      </c>
      <c r="J133" s="4">
        <f t="shared" si="116"/>
        <v>3.0790921774956543</v>
      </c>
      <c r="K133" s="4">
        <f t="shared" si="116"/>
        <v>6.981195798693804</v>
      </c>
      <c r="L133" s="4">
        <f t="shared" si="116"/>
        <v>10.407542463182503</v>
      </c>
      <c r="M133" s="8">
        <f t="shared" si="116"/>
        <v>13.124632308082699</v>
      </c>
      <c r="N133" s="7">
        <f t="shared" si="116"/>
        <v>5.8440584360639996</v>
      </c>
      <c r="O133" s="7">
        <f aca="true" t="shared" si="117" ref="O133:Z133">-O123</f>
        <v>6.39203659910498</v>
      </c>
      <c r="P133" s="7">
        <f t="shared" si="117"/>
        <v>7.155561134446711</v>
      </c>
      <c r="Q133" s="7">
        <f t="shared" si="117"/>
        <v>8.260863488856083</v>
      </c>
      <c r="R133" s="7">
        <f t="shared" si="117"/>
        <v>9.92209415902859</v>
      </c>
      <c r="S133" s="7">
        <f t="shared" si="117"/>
        <v>12.544974484730604</v>
      </c>
      <c r="T133" s="7">
        <f t="shared" si="117"/>
        <v>16.972511114486743</v>
      </c>
      <c r="U133" s="7">
        <f t="shared" si="117"/>
        <v>25.105542791323078</v>
      </c>
      <c r="V133" s="7">
        <f t="shared" si="117"/>
        <v>41.42986999908725</v>
      </c>
      <c r="W133" s="7">
        <f t="shared" si="117"/>
        <v>75.53817505220377</v>
      </c>
      <c r="X133" s="7">
        <f t="shared" si="117"/>
        <v>134.63073552870063</v>
      </c>
      <c r="Y133" s="7">
        <f t="shared" si="117"/>
        <v>150.69819957232176</v>
      </c>
      <c r="Z133" s="7">
        <f t="shared" si="117"/>
        <v>-14.94730015068769</v>
      </c>
    </row>
    <row r="134" spans="1:26" s="11" customFormat="1" ht="15.75">
      <c r="A134" s="1" t="s">
        <v>53</v>
      </c>
      <c r="B134" s="4">
        <f>B130+B132</f>
        <v>-3.062003965286692</v>
      </c>
      <c r="C134" s="4">
        <f aca="true" t="shared" si="118" ref="C134:N134">C130+C132</f>
        <v>-2.1593282640282823</v>
      </c>
      <c r="D134" s="4">
        <f t="shared" si="118"/>
        <v>-0.6901626260560256</v>
      </c>
      <c r="E134" s="4">
        <f t="shared" si="118"/>
        <v>0.48908968226309035</v>
      </c>
      <c r="F134" s="4">
        <f t="shared" si="118"/>
        <v>1.5334645200829486</v>
      </c>
      <c r="G134" s="4">
        <f t="shared" si="118"/>
        <v>2.387769436484805</v>
      </c>
      <c r="H134" s="4">
        <f t="shared" si="118"/>
        <v>3.032214664564366</v>
      </c>
      <c r="I134" s="4">
        <f t="shared" si="118"/>
        <v>3.771952049531018</v>
      </c>
      <c r="J134" s="4">
        <f t="shared" si="118"/>
        <v>4.202301179524677</v>
      </c>
      <c r="K134" s="4">
        <f t="shared" si="118"/>
        <v>4.346270428764779</v>
      </c>
      <c r="L134" s="4">
        <f t="shared" si="118"/>
        <v>4.194048530836046</v>
      </c>
      <c r="M134" s="8">
        <f t="shared" si="118"/>
        <v>3.756009156523689</v>
      </c>
      <c r="N134" s="7">
        <f t="shared" si="118"/>
        <v>11.98231012849817</v>
      </c>
      <c r="O134" s="7">
        <f aca="true" t="shared" si="119" ref="O134:Z134">O130+O132</f>
        <v>16.167408068321905</v>
      </c>
      <c r="P134" s="7">
        <f t="shared" si="119"/>
        <v>18.9735350720756</v>
      </c>
      <c r="Q134" s="7">
        <f t="shared" si="119"/>
        <v>20.030958477115266</v>
      </c>
      <c r="R134" s="7">
        <f t="shared" si="119"/>
        <v>18.987844346407968</v>
      </c>
      <c r="S134" s="7">
        <f t="shared" si="119"/>
        <v>15.500648558296025</v>
      </c>
      <c r="T134" s="7">
        <f t="shared" si="119"/>
        <v>9.312592701502297</v>
      </c>
      <c r="U134" s="7">
        <f t="shared" si="119"/>
        <v>0.7619502667838951</v>
      </c>
      <c r="V134" s="7">
        <f t="shared" si="119"/>
        <v>-7.043121306895053</v>
      </c>
      <c r="W134" s="7">
        <f t="shared" si="119"/>
        <v>-1.2694174918838428</v>
      </c>
      <c r="X134" s="7">
        <f t="shared" si="119"/>
        <v>48.02256136471904</v>
      </c>
      <c r="Y134" s="7">
        <f t="shared" si="119"/>
        <v>118.81468084553418</v>
      </c>
      <c r="Z134" s="7">
        <f t="shared" si="119"/>
        <v>-3.0620039652869195</v>
      </c>
    </row>
    <row r="135" spans="1:26" s="11" customFormat="1" ht="15.75">
      <c r="A135" s="1" t="s">
        <v>54</v>
      </c>
      <c r="B135" s="4">
        <f>B131+B133</f>
        <v>-3.0845506208164863</v>
      </c>
      <c r="C135" s="4">
        <f aca="true" t="shared" si="120" ref="C135:N135">C131+C133</f>
        <v>-3.77195204953102</v>
      </c>
      <c r="D135" s="4">
        <f t="shared" si="120"/>
        <v>-4.1977319818260845</v>
      </c>
      <c r="E135" s="4">
        <f t="shared" si="120"/>
        <v>-4.336577865371659</v>
      </c>
      <c r="F135" s="4">
        <f t="shared" si="120"/>
        <v>-4.178221026629458</v>
      </c>
      <c r="G135" s="4">
        <f t="shared" si="120"/>
        <v>-3.7339432387370763</v>
      </c>
      <c r="H135" s="4">
        <f t="shared" si="120"/>
        <v>-3.0345918317009257</v>
      </c>
      <c r="I135" s="4">
        <f t="shared" si="120"/>
        <v>-2.159328264028277</v>
      </c>
      <c r="J135" s="4">
        <f t="shared" si="120"/>
        <v>-1.1094979100287437</v>
      </c>
      <c r="K135" s="4">
        <f t="shared" si="120"/>
        <v>0.015942893007268033</v>
      </c>
      <c r="L135" s="4">
        <f t="shared" si="120"/>
        <v>1.1402972142317136</v>
      </c>
      <c r="M135" s="8">
        <f t="shared" si="120"/>
        <v>2.1869421647367275</v>
      </c>
      <c r="N135" s="7">
        <f t="shared" si="120"/>
        <v>-14.687984252637523</v>
      </c>
      <c r="O135" s="7">
        <f aca="true" t="shared" si="121" ref="O135:Z135">O131+O133</f>
        <v>-10.504855989513874</v>
      </c>
      <c r="P135" s="7">
        <f t="shared" si="121"/>
        <v>-4.626869890040367</v>
      </c>
      <c r="Q135" s="7">
        <f t="shared" si="121"/>
        <v>2.8035330144367485</v>
      </c>
      <c r="R135" s="7">
        <f t="shared" si="121"/>
        <v>11.793197398579007</v>
      </c>
      <c r="S135" s="7">
        <f t="shared" si="121"/>
        <v>22.644539019185995</v>
      </c>
      <c r="T135" s="7">
        <f t="shared" si="121"/>
        <v>36.19439977412333</v>
      </c>
      <c r="U135" s="7">
        <f t="shared" si="121"/>
        <v>54.085696064454105</v>
      </c>
      <c r="V135" s="7">
        <f t="shared" si="121"/>
        <v>78.28164306287991</v>
      </c>
      <c r="W135" s="7">
        <f t="shared" si="121"/>
        <v>104.98561446973645</v>
      </c>
      <c r="X135" s="7">
        <f t="shared" si="121"/>
        <v>96.03776127351571</v>
      </c>
      <c r="Y135" s="7">
        <f t="shared" si="121"/>
        <v>-41.83502702234435</v>
      </c>
      <c r="Z135" s="7">
        <f t="shared" si="121"/>
        <v>-3.0845506208163247</v>
      </c>
    </row>
    <row r="136" spans="1:26" s="11" customFormat="1" ht="16.5" thickBot="1">
      <c r="A136" s="2" t="s">
        <v>60</v>
      </c>
      <c r="B136" s="5">
        <f aca="true" t="shared" si="122" ref="B136:Z136">B73-B71*(B65-B25)+B72*(B64-B24)-B120*(B58-B25)+B121*(B57-B24)</f>
        <v>119.57840120550642</v>
      </c>
      <c r="C136" s="5">
        <f t="shared" si="122"/>
        <v>126.01067351651953</v>
      </c>
      <c r="D136" s="5">
        <f t="shared" si="122"/>
        <v>123.89208025162581</v>
      </c>
      <c r="E136" s="5">
        <f t="shared" si="122"/>
        <v>113.3373708690717</v>
      </c>
      <c r="F136" s="5">
        <f t="shared" si="122"/>
        <v>95.07228381902328</v>
      </c>
      <c r="G136" s="5">
        <f t="shared" si="122"/>
        <v>70.33763446926282</v>
      </c>
      <c r="H136" s="5">
        <f t="shared" si="122"/>
        <v>40.81448403331341</v>
      </c>
      <c r="I136" s="5">
        <f t="shared" si="122"/>
        <v>8.262771897267172</v>
      </c>
      <c r="J136" s="5">
        <f t="shared" si="122"/>
        <v>-24.63273741996524</v>
      </c>
      <c r="K136" s="5">
        <f t="shared" si="122"/>
        <v>-55.84956638955043</v>
      </c>
      <c r="L136" s="5">
        <f t="shared" si="122"/>
        <v>-83.26033970546003</v>
      </c>
      <c r="M136" s="9">
        <f t="shared" si="122"/>
        <v>-104.99705846466136</v>
      </c>
      <c r="N136" s="7">
        <f t="shared" si="122"/>
        <v>-140.17197228973055</v>
      </c>
      <c r="O136" s="7">
        <f t="shared" si="122"/>
        <v>-150.07182729447683</v>
      </c>
      <c r="P136" s="7">
        <f t="shared" si="122"/>
        <v>-159.41983934563208</v>
      </c>
      <c r="Q136" s="7">
        <f t="shared" si="122"/>
        <v>-169.10587686843934</v>
      </c>
      <c r="R136" s="7">
        <f t="shared" si="122"/>
        <v>-180.34297796806362</v>
      </c>
      <c r="S136" s="7">
        <f t="shared" si="122"/>
        <v>-195.08762626452545</v>
      </c>
      <c r="T136" s="7">
        <f t="shared" si="122"/>
        <v>-216.8252404702693</v>
      </c>
      <c r="U136" s="7">
        <f t="shared" si="122"/>
        <v>-251.9881505453606</v>
      </c>
      <c r="V136" s="7">
        <f t="shared" si="122"/>
        <v>-311.7121395387541</v>
      </c>
      <c r="W136" s="7">
        <f t="shared" si="122"/>
        <v>-408.39375892484134</v>
      </c>
      <c r="X136" s="7">
        <f t="shared" si="122"/>
        <v>-515.5365941175985</v>
      </c>
      <c r="Y136" s="7">
        <f t="shared" si="122"/>
        <v>-436.988449267535</v>
      </c>
      <c r="Z136" s="7">
        <f t="shared" si="122"/>
        <v>119.57840120550354</v>
      </c>
    </row>
    <row r="137" spans="1:13" s="11" customFormat="1" ht="16.5" thickBot="1">
      <c r="A137" s="76"/>
      <c r="B137" s="74"/>
      <c r="C137" s="74"/>
      <c r="D137" s="74"/>
      <c r="E137" s="74"/>
      <c r="F137" s="75" t="s">
        <v>14</v>
      </c>
      <c r="G137" s="74"/>
      <c r="H137" s="74"/>
      <c r="I137" s="74"/>
      <c r="J137" s="74"/>
      <c r="K137" s="74"/>
      <c r="L137" s="74"/>
      <c r="M137" s="71"/>
    </row>
    <row r="138" spans="1:26" s="11" customFormat="1" ht="15.75">
      <c r="A138" s="10" t="s">
        <v>45</v>
      </c>
      <c r="B138" s="3">
        <f aca="true" t="shared" si="123" ref="B138:Z138">B134+B38</f>
        <v>-33.06200396528669</v>
      </c>
      <c r="C138" s="3">
        <f t="shared" si="123"/>
        <v>-28.031274511470084</v>
      </c>
      <c r="D138" s="3">
        <f t="shared" si="123"/>
        <v>-20.670924739589186</v>
      </c>
      <c r="E138" s="3">
        <f t="shared" si="123"/>
        <v>-12.238832379094768</v>
      </c>
      <c r="F138" s="3">
        <f t="shared" si="123"/>
        <v>-3.0742306345037926</v>
      </c>
      <c r="G138" s="3">
        <f t="shared" si="123"/>
        <v>6.214307998878003</v>
      </c>
      <c r="H138" s="3">
        <f t="shared" si="123"/>
        <v>15.032214664564362</v>
      </c>
      <c r="I138" s="3">
        <f t="shared" si="123"/>
        <v>23.127633318075468</v>
      </c>
      <c r="J138" s="3">
        <f t="shared" si="123"/>
        <v>29.59460602493794</v>
      </c>
      <c r="K138" s="3">
        <f t="shared" si="123"/>
        <v>34.04475523859978</v>
      </c>
      <c r="L138" s="3">
        <f t="shared" si="123"/>
        <v>36.1748106443692</v>
      </c>
      <c r="M138" s="6">
        <f t="shared" si="123"/>
        <v>35.83961248642599</v>
      </c>
      <c r="N138" s="7">
        <f t="shared" si="123"/>
        <v>41.98231012849817</v>
      </c>
      <c r="O138" s="7">
        <f t="shared" si="123"/>
        <v>42.0393543157637</v>
      </c>
      <c r="P138" s="7">
        <f t="shared" si="123"/>
        <v>38.95429718560876</v>
      </c>
      <c r="Q138" s="7">
        <f t="shared" si="123"/>
        <v>32.75888053847312</v>
      </c>
      <c r="R138" s="7">
        <f t="shared" si="123"/>
        <v>23.59553950099472</v>
      </c>
      <c r="S138" s="7">
        <f t="shared" si="123"/>
        <v>11.674109995902823</v>
      </c>
      <c r="T138" s="7">
        <f t="shared" si="123"/>
        <v>-2.687407298497698</v>
      </c>
      <c r="U138" s="7">
        <f t="shared" si="123"/>
        <v>-18.593731001760535</v>
      </c>
      <c r="V138" s="7">
        <f t="shared" si="123"/>
        <v>-32.435426152308324</v>
      </c>
      <c r="W138" s="7">
        <f t="shared" si="123"/>
        <v>-30.967902301718834</v>
      </c>
      <c r="X138" s="7">
        <f t="shared" si="123"/>
        <v>16.041799251185882</v>
      </c>
      <c r="Y138" s="7">
        <f t="shared" si="123"/>
        <v>86.73107751563188</v>
      </c>
      <c r="Z138" s="7">
        <f t="shared" si="123"/>
        <v>-33.06200396528692</v>
      </c>
    </row>
    <row r="139" spans="1:26" s="11" customFormat="1" ht="15.75">
      <c r="A139" s="1" t="s">
        <v>46</v>
      </c>
      <c r="B139" s="4">
        <f aca="true" t="shared" si="124" ref="B139:Z139">B135+B39</f>
        <v>-15.084550620816486</v>
      </c>
      <c r="C139" s="4">
        <f t="shared" si="124"/>
        <v>-23.127633318075464</v>
      </c>
      <c r="D139" s="4">
        <f t="shared" si="124"/>
        <v>-29.590036827239345</v>
      </c>
      <c r="E139" s="4">
        <f t="shared" si="124"/>
        <v>-34.03506267520665</v>
      </c>
      <c r="F139" s="4">
        <f t="shared" si="124"/>
        <v>-36.15898314016262</v>
      </c>
      <c r="G139" s="4">
        <f t="shared" si="124"/>
        <v>-35.81754656863938</v>
      </c>
      <c r="H139" s="4">
        <f t="shared" si="124"/>
        <v>-33.03459183170092</v>
      </c>
      <c r="I139" s="4">
        <f t="shared" si="124"/>
        <v>-28.03127451147008</v>
      </c>
      <c r="J139" s="4">
        <f t="shared" si="124"/>
        <v>-21.090260023561907</v>
      </c>
      <c r="K139" s="4">
        <f t="shared" si="124"/>
        <v>-12.711979168350592</v>
      </c>
      <c r="L139" s="4">
        <f t="shared" si="124"/>
        <v>-3.467397940355019</v>
      </c>
      <c r="M139" s="8">
        <f t="shared" si="124"/>
        <v>6.013480727129915</v>
      </c>
      <c r="N139" s="7">
        <f t="shared" si="124"/>
        <v>-2.687984252637529</v>
      </c>
      <c r="O139" s="7">
        <f t="shared" si="124"/>
        <v>8.85082527903057</v>
      </c>
      <c r="P139" s="7">
        <f t="shared" si="124"/>
        <v>20.765434955372903</v>
      </c>
      <c r="Q139" s="7">
        <f t="shared" si="124"/>
        <v>32.502017824271746</v>
      </c>
      <c r="R139" s="7">
        <f t="shared" si="124"/>
        <v>43.773959512112164</v>
      </c>
      <c r="S139" s="7">
        <f t="shared" si="124"/>
        <v>54.7281423490883</v>
      </c>
      <c r="T139" s="7">
        <f t="shared" si="124"/>
        <v>66.19439977412333</v>
      </c>
      <c r="U139" s="7">
        <f t="shared" si="124"/>
        <v>79.95764231189591</v>
      </c>
      <c r="V139" s="7">
        <f t="shared" si="124"/>
        <v>98.26240517641307</v>
      </c>
      <c r="W139" s="7">
        <f t="shared" si="124"/>
        <v>117.7135365310943</v>
      </c>
      <c r="X139" s="7">
        <f t="shared" si="124"/>
        <v>100.64545642810246</v>
      </c>
      <c r="Y139" s="7">
        <f t="shared" si="124"/>
        <v>-45.66156558473755</v>
      </c>
      <c r="Z139" s="7">
        <f t="shared" si="124"/>
        <v>-15.084550620816318</v>
      </c>
    </row>
    <row r="140" spans="1:26" s="11" customFormat="1" ht="15.75">
      <c r="A140" s="1" t="s">
        <v>53</v>
      </c>
      <c r="B140" s="4">
        <f>B138</f>
        <v>-33.06200396528669</v>
      </c>
      <c r="C140" s="4">
        <f aca="true" t="shared" si="125" ref="C140:Z140">C138</f>
        <v>-28.031274511470084</v>
      </c>
      <c r="D140" s="4">
        <f t="shared" si="125"/>
        <v>-20.670924739589186</v>
      </c>
      <c r="E140" s="4">
        <f t="shared" si="125"/>
        <v>-12.238832379094768</v>
      </c>
      <c r="F140" s="4">
        <f t="shared" si="125"/>
        <v>-3.0742306345037926</v>
      </c>
      <c r="G140" s="4">
        <f t="shared" si="125"/>
        <v>6.214307998878003</v>
      </c>
      <c r="H140" s="4">
        <f t="shared" si="125"/>
        <v>15.032214664564362</v>
      </c>
      <c r="I140" s="4">
        <f t="shared" si="125"/>
        <v>23.127633318075468</v>
      </c>
      <c r="J140" s="4">
        <f t="shared" si="125"/>
        <v>29.59460602493794</v>
      </c>
      <c r="K140" s="4">
        <f t="shared" si="125"/>
        <v>34.04475523859978</v>
      </c>
      <c r="L140" s="4">
        <f t="shared" si="125"/>
        <v>36.1748106443692</v>
      </c>
      <c r="M140" s="8">
        <f t="shared" si="125"/>
        <v>35.83961248642599</v>
      </c>
      <c r="N140" s="7">
        <f t="shared" si="125"/>
        <v>41.98231012849817</v>
      </c>
      <c r="O140" s="7">
        <f t="shared" si="125"/>
        <v>42.0393543157637</v>
      </c>
      <c r="P140" s="7">
        <f t="shared" si="125"/>
        <v>38.95429718560876</v>
      </c>
      <c r="Q140" s="7">
        <f t="shared" si="125"/>
        <v>32.75888053847312</v>
      </c>
      <c r="R140" s="7">
        <f t="shared" si="125"/>
        <v>23.59553950099472</v>
      </c>
      <c r="S140" s="7">
        <f t="shared" si="125"/>
        <v>11.674109995902823</v>
      </c>
      <c r="T140" s="7">
        <f t="shared" si="125"/>
        <v>-2.687407298497698</v>
      </c>
      <c r="U140" s="7">
        <f t="shared" si="125"/>
        <v>-18.593731001760535</v>
      </c>
      <c r="V140" s="7">
        <f t="shared" si="125"/>
        <v>-32.435426152308324</v>
      </c>
      <c r="W140" s="7">
        <f t="shared" si="125"/>
        <v>-30.967902301718834</v>
      </c>
      <c r="X140" s="7">
        <f t="shared" si="125"/>
        <v>16.041799251185882</v>
      </c>
      <c r="Y140" s="7">
        <f t="shared" si="125"/>
        <v>86.73107751563188</v>
      </c>
      <c r="Z140" s="7">
        <f t="shared" si="125"/>
        <v>-33.06200396528692</v>
      </c>
    </row>
    <row r="141" spans="1:26" s="11" customFormat="1" ht="15.75">
      <c r="A141" s="1" t="s">
        <v>54</v>
      </c>
      <c r="B141" s="4">
        <f>B139</f>
        <v>-15.084550620816486</v>
      </c>
      <c r="C141" s="4">
        <f aca="true" t="shared" si="126" ref="C141:Z141">C139</f>
        <v>-23.127633318075464</v>
      </c>
      <c r="D141" s="4">
        <f t="shared" si="126"/>
        <v>-29.590036827239345</v>
      </c>
      <c r="E141" s="4">
        <f t="shared" si="126"/>
        <v>-34.03506267520665</v>
      </c>
      <c r="F141" s="4">
        <f t="shared" si="126"/>
        <v>-36.15898314016262</v>
      </c>
      <c r="G141" s="4">
        <f t="shared" si="126"/>
        <v>-35.81754656863938</v>
      </c>
      <c r="H141" s="4">
        <f t="shared" si="126"/>
        <v>-33.03459183170092</v>
      </c>
      <c r="I141" s="4">
        <f t="shared" si="126"/>
        <v>-28.03127451147008</v>
      </c>
      <c r="J141" s="4">
        <f t="shared" si="126"/>
        <v>-21.090260023561907</v>
      </c>
      <c r="K141" s="4">
        <f t="shared" si="126"/>
        <v>-12.711979168350592</v>
      </c>
      <c r="L141" s="4">
        <f t="shared" si="126"/>
        <v>-3.467397940355019</v>
      </c>
      <c r="M141" s="8">
        <f t="shared" si="126"/>
        <v>6.013480727129915</v>
      </c>
      <c r="N141" s="7">
        <f t="shared" si="126"/>
        <v>-2.687984252637529</v>
      </c>
      <c r="O141" s="7">
        <f t="shared" si="126"/>
        <v>8.85082527903057</v>
      </c>
      <c r="P141" s="7">
        <f t="shared" si="126"/>
        <v>20.765434955372903</v>
      </c>
      <c r="Q141" s="7">
        <f t="shared" si="126"/>
        <v>32.502017824271746</v>
      </c>
      <c r="R141" s="7">
        <f t="shared" si="126"/>
        <v>43.773959512112164</v>
      </c>
      <c r="S141" s="7">
        <f t="shared" si="126"/>
        <v>54.7281423490883</v>
      </c>
      <c r="T141" s="7">
        <f t="shared" si="126"/>
        <v>66.19439977412333</v>
      </c>
      <c r="U141" s="7">
        <f t="shared" si="126"/>
        <v>79.95764231189591</v>
      </c>
      <c r="V141" s="7">
        <f t="shared" si="126"/>
        <v>98.26240517641307</v>
      </c>
      <c r="W141" s="7">
        <f t="shared" si="126"/>
        <v>117.7135365310943</v>
      </c>
      <c r="X141" s="7">
        <f t="shared" si="126"/>
        <v>100.64545642810246</v>
      </c>
      <c r="Y141" s="7">
        <f t="shared" si="126"/>
        <v>-45.66156558473755</v>
      </c>
      <c r="Z141" s="7">
        <f t="shared" si="126"/>
        <v>-15.084550620816318</v>
      </c>
    </row>
    <row r="142" spans="1:26" s="11" customFormat="1" ht="16.5" customHeight="1">
      <c r="A142" s="1" t="s">
        <v>59</v>
      </c>
      <c r="B142" s="4">
        <f aca="true" t="shared" si="127" ref="B142:Z142">B40-B38*B32+B39*B31-B134*B25+B135*B24</f>
        <v>-11.680281783399739</v>
      </c>
      <c r="C142" s="4">
        <f t="shared" si="127"/>
        <v>-11.680281783361774</v>
      </c>
      <c r="D142" s="4">
        <f t="shared" si="127"/>
        <v>-12.578499034488656</v>
      </c>
      <c r="E142" s="4">
        <f t="shared" si="127"/>
        <v>-13.060805772586958</v>
      </c>
      <c r="F142" s="4">
        <f t="shared" si="127"/>
        <v>-13.052798175628329</v>
      </c>
      <c r="G142" s="4">
        <f t="shared" si="127"/>
        <v>-12.447685590345955</v>
      </c>
      <c r="H142" s="4">
        <f t="shared" si="127"/>
        <v>-11.476963417723251</v>
      </c>
      <c r="I142" s="4">
        <f t="shared" si="127"/>
        <v>-11.68028178336178</v>
      </c>
      <c r="J142" s="4">
        <f t="shared" si="127"/>
        <v>-11.68028178336177</v>
      </c>
      <c r="K142" s="4">
        <f t="shared" si="127"/>
        <v>-11.68028178336177</v>
      </c>
      <c r="L142" s="4">
        <f t="shared" si="127"/>
        <v>-11.680281783361783</v>
      </c>
      <c r="M142" s="8">
        <f t="shared" si="127"/>
        <v>-11.68028178336261</v>
      </c>
      <c r="N142" s="7">
        <f t="shared" si="127"/>
        <v>61.17984215707351</v>
      </c>
      <c r="O142" s="7">
        <f t="shared" si="127"/>
        <v>59.946862358701814</v>
      </c>
      <c r="P142" s="7">
        <f t="shared" si="127"/>
        <v>56.85658972387506</v>
      </c>
      <c r="Q142" s="7">
        <f t="shared" si="127"/>
        <v>52.03989358289446</v>
      </c>
      <c r="R142" s="7">
        <f t="shared" si="127"/>
        <v>46.25717444965879</v>
      </c>
      <c r="S142" s="7">
        <f t="shared" si="127"/>
        <v>41.81543120738998</v>
      </c>
      <c r="T142" s="7">
        <f t="shared" si="127"/>
        <v>44.77639455871283</v>
      </c>
      <c r="U142" s="7">
        <f t="shared" si="127"/>
        <v>69.75222801132865</v>
      </c>
      <c r="V142" s="7">
        <f t="shared" si="127"/>
        <v>146.91351996238208</v>
      </c>
      <c r="W142" s="7">
        <f t="shared" si="127"/>
        <v>308.68044018673</v>
      </c>
      <c r="X142" s="7">
        <f t="shared" si="127"/>
        <v>429.4882339835573</v>
      </c>
      <c r="Y142" s="7">
        <f t="shared" si="127"/>
        <v>-64.8714804798904</v>
      </c>
      <c r="Z142" s="7">
        <f t="shared" si="127"/>
        <v>-11.68028178339905</v>
      </c>
    </row>
    <row r="143" spans="1:26" s="11" customFormat="1" ht="13.5" thickBot="1">
      <c r="A143" s="52" t="s">
        <v>92</v>
      </c>
      <c r="B143" s="5"/>
      <c r="C143" s="5">
        <f>(C103-B103)/(RADIANS(B22))</f>
        <v>2.296106035642142E-10</v>
      </c>
      <c r="D143" s="5">
        <f aca="true" t="shared" si="128" ref="D143:Z143">(D103-C103)/(RADIANS(C22))</f>
        <v>-3.256887993818641E-12</v>
      </c>
      <c r="E143" s="5">
        <f t="shared" si="128"/>
        <v>8.142219984546603E-13</v>
      </c>
      <c r="F143" s="5">
        <f t="shared" si="128"/>
        <v>-8.142219984546603E-13</v>
      </c>
      <c r="G143" s="5">
        <f t="shared" si="128"/>
        <v>-1.6284439969093206E-12</v>
      </c>
      <c r="H143" s="5">
        <f t="shared" si="128"/>
        <v>8.142219984546603E-13</v>
      </c>
      <c r="I143" s="5">
        <f t="shared" si="128"/>
        <v>8.142219984546603E-13</v>
      </c>
      <c r="J143" s="5">
        <f t="shared" si="128"/>
        <v>0</v>
      </c>
      <c r="K143" s="5">
        <f t="shared" si="128"/>
        <v>-1.6284439969093206E-12</v>
      </c>
      <c r="L143" s="5">
        <f t="shared" si="128"/>
        <v>0</v>
      </c>
      <c r="M143" s="5">
        <f t="shared" si="128"/>
        <v>6.513775987637282E-12</v>
      </c>
      <c r="N143" s="5">
        <f t="shared" si="128"/>
        <v>1447.2195225580535</v>
      </c>
      <c r="O143" s="5">
        <f t="shared" si="128"/>
        <v>-528.1989543267587</v>
      </c>
      <c r="P143" s="5">
        <f t="shared" si="128"/>
        <v>-605.243493695567</v>
      </c>
      <c r="Q143" s="5">
        <f t="shared" si="128"/>
        <v>-667.7324298665609</v>
      </c>
      <c r="R143" s="5">
        <f t="shared" si="128"/>
        <v>-697.0330709410222</v>
      </c>
      <c r="S143" s="5">
        <f t="shared" si="128"/>
        <v>-643.1692484400427</v>
      </c>
      <c r="T143" s="5">
        <f t="shared" si="128"/>
        <v>-381.28474251437433</v>
      </c>
      <c r="U143" s="5">
        <f t="shared" si="128"/>
        <v>396.84273308036904</v>
      </c>
      <c r="V143" s="5">
        <f t="shared" si="128"/>
        <v>2432.840998661269</v>
      </c>
      <c r="W143" s="5">
        <f t="shared" si="128"/>
        <v>7271.57582584775</v>
      </c>
      <c r="X143" s="5">
        <f t="shared" si="128"/>
        <v>16238.443347241542</v>
      </c>
      <c r="Y143" s="5">
        <f t="shared" si="128"/>
        <v>20974.80513349237</v>
      </c>
      <c r="Z143" s="5">
        <f t="shared" si="128"/>
        <v>-45239.06562109727</v>
      </c>
    </row>
    <row r="144" spans="1:26" s="11" customFormat="1" ht="12.75">
      <c r="A144" s="136"/>
      <c r="B144" s="4"/>
      <c r="C144" s="4"/>
      <c r="D144" s="4"/>
      <c r="E144" s="4"/>
      <c r="F144" s="4" t="s">
        <v>103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s="11" customFormat="1" ht="12.75">
      <c r="A145" s="136" t="s">
        <v>104</v>
      </c>
      <c r="B145" s="4">
        <f>B124</f>
        <v>2.916068590827229</v>
      </c>
      <c r="C145" s="4">
        <f aca="true" t="shared" si="129" ref="C145:Z145">C124</f>
        <v>2.7771520255573554</v>
      </c>
      <c r="D145" s="4">
        <f t="shared" si="129"/>
        <v>2.4489771392536523</v>
      </c>
      <c r="E145" s="4">
        <f t="shared" si="129"/>
        <v>1.953908508035798</v>
      </c>
      <c r="F145" s="4">
        <f t="shared" si="129"/>
        <v>1.325684240981784</v>
      </c>
      <c r="G145" s="4">
        <f t="shared" si="129"/>
        <v>0.6071167837016557</v>
      </c>
      <c r="H145" s="4">
        <f t="shared" si="129"/>
        <v>-0.15282467907981873</v>
      </c>
      <c r="I145" s="4">
        <f t="shared" si="129"/>
        <v>-0.9023513925367257</v>
      </c>
      <c r="J145" s="4">
        <f t="shared" si="129"/>
        <v>-1.5903843497984376</v>
      </c>
      <c r="K145" s="4">
        <f t="shared" si="129"/>
        <v>-2.1700352418557904</v>
      </c>
      <c r="L145" s="4">
        <f t="shared" si="129"/>
        <v>-2.6018018183334735</v>
      </c>
      <c r="M145" s="4">
        <f t="shared" si="129"/>
        <v>-2.856259900573024</v>
      </c>
      <c r="N145" s="4">
        <f t="shared" si="129"/>
        <v>-0.13966027223392657</v>
      </c>
      <c r="O145" s="4">
        <f t="shared" si="129"/>
        <v>0.7617887749536056</v>
      </c>
      <c r="P145" s="4">
        <f t="shared" si="129"/>
        <v>1.5555959680915576</v>
      </c>
      <c r="Q145" s="4">
        <f t="shared" si="129"/>
        <v>2.1146749986255267</v>
      </c>
      <c r="R145" s="4">
        <f t="shared" si="129"/>
        <v>2.233133471455333</v>
      </c>
      <c r="S145" s="4">
        <f t="shared" si="129"/>
        <v>1.5494199792870325</v>
      </c>
      <c r="T145" s="4">
        <f t="shared" si="129"/>
        <v>-0.5912967813540806</v>
      </c>
      <c r="U145" s="4">
        <f t="shared" si="129"/>
        <v>-5.359060874948299</v>
      </c>
      <c r="V145" s="4">
        <f t="shared" si="129"/>
        <v>-14.610688165917475</v>
      </c>
      <c r="W145" s="4">
        <f t="shared" si="129"/>
        <v>-29.843689154538474</v>
      </c>
      <c r="X145" s="4">
        <f t="shared" si="129"/>
        <v>-44.74269464228163</v>
      </c>
      <c r="Y145" s="4">
        <f t="shared" si="129"/>
        <v>-27.443260494482324</v>
      </c>
      <c r="Z145" s="4">
        <f t="shared" si="129"/>
        <v>2.9160685908264212</v>
      </c>
    </row>
    <row r="146" spans="1:26" s="11" customFormat="1" ht="12.75">
      <c r="A146" s="136" t="s">
        <v>105</v>
      </c>
      <c r="B146" s="4">
        <f>B125</f>
        <v>0.15282467908228242</v>
      </c>
      <c r="C146" s="4">
        <f aca="true" t="shared" si="130" ref="C146:Z146">C125</f>
        <v>0.9023513925366965</v>
      </c>
      <c r="D146" s="4">
        <f t="shared" si="130"/>
        <v>1.5903843497984391</v>
      </c>
      <c r="E146" s="4">
        <f t="shared" si="130"/>
        <v>2.170035241855794</v>
      </c>
      <c r="F146" s="4">
        <f t="shared" si="130"/>
        <v>2.6018018183334704</v>
      </c>
      <c r="G146" s="4">
        <f t="shared" si="130"/>
        <v>2.8562599005725255</v>
      </c>
      <c r="H146" s="4">
        <f t="shared" si="130"/>
        <v>2.9160685907802186</v>
      </c>
      <c r="I146" s="4">
        <f t="shared" si="130"/>
        <v>2.7771520255574464</v>
      </c>
      <c r="J146" s="4">
        <f t="shared" si="130"/>
        <v>2.44897713925365</v>
      </c>
      <c r="K146" s="4">
        <f t="shared" si="130"/>
        <v>1.953908508035796</v>
      </c>
      <c r="L146" s="4">
        <f t="shared" si="130"/>
        <v>1.3256842409817857</v>
      </c>
      <c r="M146" s="4">
        <f t="shared" si="130"/>
        <v>0.6071167837017611</v>
      </c>
      <c r="N146" s="4">
        <f t="shared" si="130"/>
        <v>-0.007319284721845034</v>
      </c>
      <c r="O146" s="4">
        <f t="shared" si="130"/>
        <v>0.24752017735156323</v>
      </c>
      <c r="P146" s="4">
        <f t="shared" si="130"/>
        <v>1.0102158336260898</v>
      </c>
      <c r="Q146" s="4">
        <f t="shared" si="130"/>
        <v>2.348584518269917</v>
      </c>
      <c r="R146" s="4">
        <f t="shared" si="130"/>
        <v>4.382771211273421</v>
      </c>
      <c r="S146" s="4">
        <f t="shared" si="130"/>
        <v>7.28944788678124</v>
      </c>
      <c r="T146" s="4">
        <f t="shared" si="130"/>
        <v>11.282614708030929</v>
      </c>
      <c r="U146" s="4">
        <f t="shared" si="130"/>
        <v>16.4934934295484</v>
      </c>
      <c r="V146" s="4">
        <f t="shared" si="130"/>
        <v>22.49848680391669</v>
      </c>
      <c r="W146" s="4">
        <f t="shared" si="130"/>
        <v>26.871378411514023</v>
      </c>
      <c r="X146" s="4">
        <f t="shared" si="130"/>
        <v>22.79754159920053</v>
      </c>
      <c r="Y146" s="4">
        <f t="shared" si="130"/>
        <v>5.833245091721929</v>
      </c>
      <c r="Z146" s="4">
        <f t="shared" si="130"/>
        <v>0.1528246790822402</v>
      </c>
    </row>
    <row r="147" s="11" customFormat="1" ht="12.75"/>
    <row r="148" s="11" customFormat="1" ht="12.75"/>
    <row r="149" s="11" customFormat="1" ht="12.75"/>
  </sheetData>
  <printOptions headings="1" horizontalCentered="1" verticalCentered="1"/>
  <pageMargins left="0" right="0" top="0.984251968503937" bottom="0.984251968503937" header="0.5118110236220472" footer="0.5118110236220472"/>
  <pageSetup horizontalDpi="360" verticalDpi="360" orientation="landscape" paperSize="9" scale="83" r:id="rId4"/>
  <rowBreaks count="3" manualBreakCount="3">
    <brk id="40" max="255" man="1"/>
    <brk id="80" max="255" man="1"/>
    <brk id="110" max="2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Алюшин Ю.А.</dc:creator>
  <cp:keywords/>
  <dc:description/>
  <cp:lastModifiedBy>fpp2</cp:lastModifiedBy>
  <cp:lastPrinted>1999-05-05T08:04:05Z</cp:lastPrinted>
  <dcterms:created xsi:type="dcterms:W3CDTF">1998-11-03T10:36:27Z</dcterms:created>
  <dcterms:modified xsi:type="dcterms:W3CDTF">2003-03-11T10:56:44Z</dcterms:modified>
  <cp:category/>
  <cp:version/>
  <cp:contentType/>
  <cp:contentStatus/>
</cp:coreProperties>
</file>